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drawings/drawing25.xml" ContentType="application/vnd.openxmlformats-officedocument.drawing+xml"/>
  <Override PartName="/xl/worksheets/sheet6.xml" ContentType="application/vnd.openxmlformats-officedocument.spreadsheetml.worksheet+xml"/>
  <Override PartName="/xl/drawings/drawing30.xml" ContentType="application/vnd.openxmlformats-officedocument.drawing+xml"/>
  <Override PartName="/xl/worksheets/sheet7.xml" ContentType="application/vnd.openxmlformats-officedocument.spreadsheetml.worksheet+xml"/>
  <Override PartName="/xl/drawings/drawing35.xml" ContentType="application/vnd.openxmlformats-officedocument.drawing+xml"/>
  <Override PartName="/xl/worksheets/sheet8.xml" ContentType="application/vnd.openxmlformats-officedocument.spreadsheetml.worksheet+xml"/>
  <Override PartName="/xl/drawings/drawing38.xml" ContentType="application/vnd.openxmlformats-officedocument.drawing+xml"/>
  <Override PartName="/xl/worksheets/sheet9.xml" ContentType="application/vnd.openxmlformats-officedocument.spreadsheetml.worksheet+xml"/>
  <Override PartName="/xl/drawings/drawing41.xml" ContentType="application/vnd.openxmlformats-officedocument.drawing+xml"/>
  <Override PartName="/xl/worksheets/sheet10.xml" ContentType="application/vnd.openxmlformats-officedocument.spreadsheetml.worksheet+xml"/>
  <Override PartName="/xl/drawings/drawing46.xml" ContentType="application/vnd.openxmlformats-officedocument.drawing+xml"/>
  <Override PartName="/xl/worksheets/sheet11.xml" ContentType="application/vnd.openxmlformats-officedocument.spreadsheetml.worksheet+xml"/>
  <Override PartName="/xl/drawings/drawing49.xml" ContentType="application/vnd.openxmlformats-officedocument.drawing+xml"/>
  <Override PartName="/xl/worksheets/sheet12.xml" ContentType="application/vnd.openxmlformats-officedocument.spreadsheetml.worksheet+xml"/>
  <Override PartName="/xl/drawings/drawing52.xml" ContentType="application/vnd.openxmlformats-officedocument.drawing+xml"/>
  <Override PartName="/xl/worksheets/sheet13.xml" ContentType="application/vnd.openxmlformats-officedocument.spreadsheetml.worksheet+xml"/>
  <Override PartName="/xl/drawings/drawing57.xml" ContentType="application/vnd.openxmlformats-officedocument.drawing+xml"/>
  <Override PartName="/xl/worksheets/sheet14.xml" ContentType="application/vnd.openxmlformats-officedocument.spreadsheetml.worksheet+xml"/>
  <Override PartName="/xl/drawings/drawing64.xml" ContentType="application/vnd.openxmlformats-officedocument.drawing+xml"/>
  <Override PartName="/xl/worksheets/sheet15.xml" ContentType="application/vnd.openxmlformats-officedocument.spreadsheetml.worksheet+xml"/>
  <Override PartName="/xl/drawings/drawing69.xml" ContentType="application/vnd.openxmlformats-officedocument.drawing+xml"/>
  <Override PartName="/xl/worksheets/sheet16.xml" ContentType="application/vnd.openxmlformats-officedocument.spreadsheetml.worksheet+xml"/>
  <Override PartName="/xl/drawings/drawing74.xml" ContentType="application/vnd.openxmlformats-officedocument.drawing+xml"/>
  <Override PartName="/xl/worksheets/sheet17.xml" ContentType="application/vnd.openxmlformats-officedocument.spreadsheetml.worksheet+xml"/>
  <Override PartName="/xl/drawings/drawing79.xml" ContentType="application/vnd.openxmlformats-officedocument.drawing+xml"/>
  <Override PartName="/xl/worksheets/sheet18.xml" ContentType="application/vnd.openxmlformats-officedocument.spreadsheetml.worksheet+xml"/>
  <Override PartName="/xl/drawings/drawing84.xml" ContentType="application/vnd.openxmlformats-officedocument.drawing+xml"/>
  <Override PartName="/xl/worksheets/sheet19.xml" ContentType="application/vnd.openxmlformats-officedocument.spreadsheetml.worksheet+xml"/>
  <Override PartName="/xl/drawings/drawing87.xml" ContentType="application/vnd.openxmlformats-officedocument.drawing+xml"/>
  <Override PartName="/xl/worksheets/sheet20.xml" ContentType="application/vnd.openxmlformats-officedocument.spreadsheetml.worksheet+xml"/>
  <Override PartName="/xl/drawings/drawing94.xml" ContentType="application/vnd.openxmlformats-officedocument.drawing+xml"/>
  <Override PartName="/xl/worksheets/sheet21.xml" ContentType="application/vnd.openxmlformats-officedocument.spreadsheetml.worksheet+xml"/>
  <Override PartName="/xl/drawings/drawing99.xml" ContentType="application/vnd.openxmlformats-officedocument.drawing+xml"/>
  <Override PartName="/xl/worksheets/sheet22.xml" ContentType="application/vnd.openxmlformats-officedocument.spreadsheetml.worksheet+xml"/>
  <Override PartName="/xl/drawings/drawing103.xml" ContentType="application/vnd.openxmlformats-officedocument.drawing+xml"/>
  <Override PartName="/xl/worksheets/sheet23.xml" ContentType="application/vnd.openxmlformats-officedocument.spreadsheetml.worksheet+xml"/>
  <Override PartName="/xl/drawings/drawing10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5.xml" ContentType="application/vnd.openxmlformats-officedocument.drawingml.chartshapes+xml"/>
  <Override PartName="/xl/drawings/drawing76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506" windowWidth="5730" windowHeight="6105" tabRatio="945" activeTab="0"/>
  </bookViews>
  <sheets>
    <sheet name="ALEMANIA" sheetId="1" r:id="rId1"/>
    <sheet name="ITALIA" sheetId="2" r:id="rId2"/>
    <sheet name="REINO UNIDO" sheetId="3" r:id="rId3"/>
    <sheet name="PAISES BAJOS" sheetId="4" r:id="rId4"/>
    <sheet name="ESPAÑA" sheetId="5" r:id="rId5"/>
    <sheet name="FRANCIA" sheetId="6" r:id="rId6"/>
    <sheet name="RUSIA" sheetId="7" r:id="rId7"/>
    <sheet name="EGIPTO" sheetId="8" r:id="rId8"/>
    <sheet name="ARGELIA" sheetId="9" r:id="rId9"/>
    <sheet name="EAU" sheetId="10" r:id="rId10"/>
    <sheet name="ARABIA" sheetId="11" r:id="rId11"/>
    <sheet name="ISRAEL" sheetId="12" r:id="rId12"/>
    <sheet name="MALASIA" sheetId="13" r:id="rId13"/>
    <sheet name="HONG KONG" sheetId="14" r:id="rId14"/>
    <sheet name="CHINA" sheetId="15" r:id="rId15"/>
    <sheet name="TAIWAN" sheetId="16" r:id="rId16"/>
    <sheet name="COREA S." sheetId="17" r:id="rId17"/>
    <sheet name="JAPÓN" sheetId="18" r:id="rId18"/>
    <sheet name="SUDÁFRICA" sheetId="19" r:id="rId19"/>
    <sheet name="EE.UU." sheetId="20" r:id="rId20"/>
    <sheet name="MÉXICO" sheetId="21" r:id="rId21"/>
    <sheet name="VENEZUELA" sheetId="22" r:id="rId22"/>
    <sheet name="CHILE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<sst xmlns="http://schemas.openxmlformats.org/spreadsheetml/2006/main" count="3506" uniqueCount="104">
  <si>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</si>
  <si>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</si>
  <si>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</si>
  <si>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</si>
  <si>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</si>
  <si>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</si>
  <si>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</si>
  <si>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</si>
  <si>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</si>
  <si>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EU - 15</t>
  </si>
  <si>
    <t>Otros Europa</t>
  </si>
  <si>
    <t>Estados Unidos</t>
  </si>
  <si>
    <t>Canadá</t>
  </si>
  <si>
    <t>Centroamérica y Caribe</t>
  </si>
  <si>
    <t>Brasil</t>
  </si>
  <si>
    <t>Chile</t>
  </si>
  <si>
    <t>Uruguay</t>
  </si>
  <si>
    <t>Argentina</t>
  </si>
  <si>
    <t>Australia</t>
  </si>
  <si>
    <t>Nueva Zelanda</t>
  </si>
  <si>
    <t>Total</t>
  </si>
  <si>
    <t>País - Región</t>
  </si>
  <si>
    <t>ALEMANIA - IMPORTACIONES 2005 - CARNE VACUNA ENFRIADA/REFRIGERADA DESHUESADA</t>
  </si>
  <si>
    <t>TONELADAS</t>
  </si>
  <si>
    <t>Fuente: TRADSTAT</t>
  </si>
  <si>
    <t>Sub - Total</t>
  </si>
  <si>
    <t>Otros - indeterminado</t>
  </si>
  <si>
    <t>EU - 10 NMS</t>
  </si>
  <si>
    <t>Octubre</t>
  </si>
  <si>
    <t>Noviembre</t>
  </si>
  <si>
    <t>Diciembre</t>
  </si>
  <si>
    <t>DÖLARES ESTADOUNIDENSES</t>
  </si>
  <si>
    <t>DÖLARES ESTADOUNIDENSES POR TONELADA</t>
  </si>
  <si>
    <t>Africa del Sur</t>
  </si>
  <si>
    <t>ALEMANIA - IMPORTACIONES 2005 - CARNE VACUNA CONGELADA DESHUESADA</t>
  </si>
  <si>
    <t>Otros - Irán</t>
  </si>
  <si>
    <t>ITALIA - IMPORTACIONES 2005 - CARNE VACUNA ENFRIADA/REFRIGERADA DESHUESADA</t>
  </si>
  <si>
    <t>ITALIA - IMPORTACIONES 2005 - CARNE VACUNA CONGELADA DESHUESADA</t>
  </si>
  <si>
    <t>REINO UNIDO - IMPORTACIONES 2005 - CARNE VACUNA ENFRIADA/REFRIGERADA DESHUESADA</t>
  </si>
  <si>
    <t>REINO UNIDO - IMPORTACIONES 2005 - CARNE VACUNA CONGELADA DESHUESADA</t>
  </si>
  <si>
    <t>PAISES BAJOS - IMPORTACIONES 2005 - CARNE VACUNA ENFRIADA/REFRIGERADA DESHUESADA</t>
  </si>
  <si>
    <t>PAISES BAJOS - IMPORTACIONES 2005 - CARNE VACUNA CONGELADA DESHUESADA</t>
  </si>
  <si>
    <t>ESPAÑA - IMPORTACIONES 2005 - CARNE VACUNA ENFRIADA/REFRIGERADA DESHUESADA</t>
  </si>
  <si>
    <t>ESPAÑA - IMPORTACIONES 2005 - CARNE VACUNA CONGELADA DESHUESADA</t>
  </si>
  <si>
    <t>FRANCIA - IMPORTACIONES 2005 - CARNE VACUNA ENFRIADA/REFRIGERADA DESHUESADA</t>
  </si>
  <si>
    <t>FRANCIA - IMPORTACIONES 2005 - CARNE VACUNA CONGELADA DESHUESADA</t>
  </si>
  <si>
    <t>Otros - Irán/Malí</t>
  </si>
  <si>
    <t xml:space="preserve">Otros  </t>
  </si>
  <si>
    <t xml:space="preserve">Otros       </t>
  </si>
  <si>
    <t>Otros</t>
  </si>
  <si>
    <t>RUSIA - IMPORTACIONES 2005 - CARNE VACUNA ENFRIADA/REFRIGERADA DESHUESADA</t>
  </si>
  <si>
    <t>RUSIA - IMPORTACIONES 2005 - CARNE VACUNA CONGELADA DESHUESADA</t>
  </si>
  <si>
    <t>EGIPTO - IMPORTACIONES 2005 - CARNE VACUNA CONGELADA</t>
  </si>
  <si>
    <t>ARGELIA - IMPORTACIONES 2005 - CARNE VACUNA CONGELADA</t>
  </si>
  <si>
    <t>EMIRATOS ARABES UNIDOS - IMPORTACIONES 2005 - CARNE VACUNA CONGELADA</t>
  </si>
  <si>
    <t>China</t>
  </si>
  <si>
    <t>Sudáfrica</t>
  </si>
  <si>
    <t>ARABIA SAUDÍ - IMPORTACIONES 2005 - CARNE VACUNA CONGELADA</t>
  </si>
  <si>
    <t>EMIRATOS ARABES UNIDOS - IMPORTACIONES 2005 - CARNE VACUNA ENFRIADA DESHUESADA</t>
  </si>
  <si>
    <t>ISRAEL - IMPORTACIONES 2005 - CARNE VACUNA CONGELADA DESHUESADA</t>
  </si>
  <si>
    <t>MALASIA - IMPORTACIONES 2005 - CARNE VACUNA ENFRIADA/REFRIGERADA DESHUESADA</t>
  </si>
  <si>
    <t>MALASIA - IMPORTACIONES 2005 - CARNE VACUNA CONGELADA DESHUESADA</t>
  </si>
  <si>
    <t>Japón</t>
  </si>
  <si>
    <t>África del Sur</t>
  </si>
  <si>
    <t>HONG KONG - IMPORTACIONES 2005 - CARNE VACUNA ENFRIADA/REFRIGERADA DESHUESADA</t>
  </si>
  <si>
    <t>HONG KONG - IMPORTACIONES 2005 - CARNE VACUNA CONGELADA DESHUESADA</t>
  </si>
  <si>
    <t>HONG KONG - IMPORTACIONES 2005 - MENUDENCIAS Y VÍSCERAS VACUNAS ENFRIADAS Y CONGELADAS</t>
  </si>
  <si>
    <t>NAFTA</t>
  </si>
  <si>
    <t>CHINA - IMPORTACIONES 2005 - CARNE VACUNA ENFRIADA/REFRIGERADA SIN HUESO</t>
  </si>
  <si>
    <t>CHINA - IMPORTACIONES 2005 - CARNE VACUNA CONGELADA SIN HUESO</t>
  </si>
  <si>
    <t>CHINA - IMPORTACIONES 2005 - CARNE VACUNACONGELADA SIN HUESO</t>
  </si>
  <si>
    <t>TAIWÁN - IMPORTACIONES 2005 - CARNE VACUNA ENFRIADA/REFRIGERADA SIN HUESO</t>
  </si>
  <si>
    <t>TAIWÁN - IMPORTACIONES 2005 - CARNE VACUNA CONGELADA SIN HUESO</t>
  </si>
  <si>
    <t>Ucrania</t>
  </si>
  <si>
    <t>COREA DEL SUR - IMPORTACIONES 2005 - CARNE VACUNA ENFRIADA/REFRIGERADA SIN HUESO</t>
  </si>
  <si>
    <t>COREA DEL SUR - IMPORTACIONES 2005 - CARNE VACUNA CONGELADA SIN HUESO</t>
  </si>
  <si>
    <t>EU -15</t>
  </si>
  <si>
    <t>México</t>
  </si>
  <si>
    <t>JAPÓN - IMPORTACIONES 2005 - CARNE VACUNA ENFRIADA/REFRIGERADA SIN HUESO</t>
  </si>
  <si>
    <t>JAPÓN - IMPORTACIONES 2005 - CARNE VACUNA CONGELADA SIN HUESO</t>
  </si>
  <si>
    <t>Vanuatu</t>
  </si>
  <si>
    <t>Kenia</t>
  </si>
  <si>
    <t xml:space="preserve">Brasil </t>
  </si>
  <si>
    <t>Paraguay</t>
  </si>
  <si>
    <t>India</t>
  </si>
  <si>
    <t>SUDÁFRICA - IMPORTACIONES 2005 - CARNE VACUNA CONGELADA SIN HUESO</t>
  </si>
  <si>
    <t>ESTADOS UNIDOS - IMPORTACIONES 2005 - CARNE VACUNA ENFRIADA/REFRIGERADA SIN HUESO</t>
  </si>
  <si>
    <t>ESTADOS UNIDOS - IMPORTACIONES 2005 - CARNE VACUNA CONGELADA SIN HUESO</t>
  </si>
  <si>
    <t>ESTADOS UNIDOS - IMPORTACIONES 2005 - CARNE VACUNA PROCESADA/INDUSTRIALIZADA</t>
  </si>
  <si>
    <t>MÉXICO - IMPORTACIONES 2005 - CARNE VACUNA ENFRIADA/REFRIGERADA SIN HUESO</t>
  </si>
  <si>
    <t>MÉXICO - IMPORTACIONES 2005 - CARNE VACUNA CONGELADA SIN HUESO</t>
  </si>
  <si>
    <t>Corea del Sur</t>
  </si>
  <si>
    <t>Coreas del Sur</t>
  </si>
  <si>
    <t>CHILE - IMPORTACIONES 2005 - CARNE VACUNA ENFRIADA/REFRIGERADA SIN HUESO</t>
  </si>
  <si>
    <t>Fuente: ODEPA-CHILE</t>
  </si>
  <si>
    <t>CHILE - IMPORTACIONES 2005 - CARNE VACUNA CONGELADA SIN HUESO</t>
  </si>
  <si>
    <t xml:space="preserve"> </t>
  </si>
  <si>
    <t>Otros/ Japon</t>
  </si>
  <si>
    <t>China ( China- EAU- Indonesia)</t>
  </si>
  <si>
    <t>VENEZUELA - IMPORTACIONES 2005 - CARNE VACUNA ENFRIADA/REFRIGERADA SIN HUESO</t>
  </si>
  <si>
    <t>VENEZUELA - IMPORTACIONES 2005 - CARNE VACUNA CONGELADA SIN HUESO</t>
  </si>
  <si>
    <t>USA</t>
  </si>
  <si>
    <t>BRASIL</t>
  </si>
  <si>
    <t>ARGENTINA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</si>
</sst>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  <numFmt numFmtId="173" formatCode="#,##0.0"/>
    <numFmt numFmtId="174" formatCode="0.0"/>
    <numFmt numFmtId="175" formatCode="#,##0\ _€"/>
    <numFmt numFmtId="176" formatCode="0.0%"/>
    <numFmt numFmtId="177" formatCode="&quot;$&quot;\ #,##0.00"/>
  </numFmts>
  <fonts count="1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6.75"/>
      <name val="Arial"/>
      <family val="0"/>
    </font>
    <font>
      <sz val="16.5"/>
      <name val="Arial"/>
      <family val="0"/>
    </font>
    <font>
      <sz val="15.5"/>
      <name val="Arial"/>
      <family val="0"/>
    </font>
    <font>
      <sz val="14"/>
      <name val="Arial"/>
      <family val="2"/>
    </font>
    <font>
      <sz val="15.75"/>
      <name val="Arial"/>
      <family val="0"/>
    </font>
    <font>
      <b/>
      <sz val="18.5"/>
      <name val="Arial"/>
      <family val="0"/>
    </font>
    <font>
      <sz val="12"/>
      <name val="Arial"/>
      <family val="2"/>
    </font>
    <font>
      <sz val="16"/>
      <name val="Arial"/>
      <family val="0"/>
    </font>
    <font>
      <sz val="17.75"/>
      <name val="Arial"/>
      <family val="0"/>
    </font>
    <font>
      <sz val="17.25"/>
      <name val="Arial"/>
      <family val="0"/>
    </font>
    <font>
      <sz val="17.5"/>
      <name val="Arial"/>
      <family val="2"/>
    </font>
    <font>
      <b/>
      <sz val="23.5"/>
      <name val="Arial"/>
      <family val="0"/>
    </font>
    <font>
      <sz val="19.5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3" fontId="0" fillId="0" borderId="3" xfId="0" applyNumberFormat="1" applyBorder="1" applyAlignment="1">
      <alignment/>
    </xf>
    <xf numFmtId="174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0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right"/>
    </xf>
    <xf numFmtId="3" fontId="0" fillId="0" borderId="3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right"/>
    </xf>
    <xf numFmtId="172" fontId="0" fillId="0" borderId="3" xfId="0" applyNumberFormat="1" applyFill="1" applyBorder="1" applyAlignment="1">
      <alignment horizontal="right"/>
    </xf>
    <xf numFmtId="3" fontId="0" fillId="0" borderId="3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72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2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2" xfId="0" applyBorder="1" applyAlignment="1">
      <alignment horizontal="center"/>
    </xf>
    <xf numFmtId="172" fontId="0" fillId="0" borderId="12" xfId="0" applyNumberFormat="1" applyBorder="1" applyAlignment="1">
      <alignment/>
    </xf>
    <xf numFmtId="0" fontId="0" fillId="0" borderId="7" xfId="0" applyBorder="1" applyAlignment="1">
      <alignment horizontal="center"/>
    </xf>
    <xf numFmtId="172" fontId="0" fillId="0" borderId="7" xfId="0" applyNumberFormat="1" applyBorder="1" applyAlignment="1">
      <alignment/>
    </xf>
    <xf numFmtId="0" fontId="0" fillId="0" borderId="9" xfId="0" applyBorder="1" applyAlignment="1">
      <alignment horizontal="center"/>
    </xf>
    <xf numFmtId="172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17" fillId="0" borderId="3" xfId="0" applyFont="1" applyFill="1" applyBorder="1" applyAlignment="1">
      <alignment horizontal="right" wrapText="1"/>
    </xf>
    <xf numFmtId="3" fontId="0" fillId="0" borderId="4" xfId="0" applyNumberFormat="1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 horizontal="right" wrapText="1"/>
    </xf>
    <xf numFmtId="177" fontId="0" fillId="0" borderId="3" xfId="0" applyNumberForma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4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6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Alemania - Importaciones 2005 - Carne Vacuna Enfriada Deshuesada - Toneladas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ALEMANIA!$A$4:$A$14</c:f>
              <c:strCache/>
            </c:strRef>
          </c:cat>
          <c:val>
            <c:numRef>
              <c:f>ALEMANIA!$N$4:$N$14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Reino Unido - Importaciones 2005 - Carne Vacuna Enfriada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('REINO UNIDO'!$A$44:$A$45,'REINO UNIDO'!$A$47:$A$48,'REINO UNIDO'!$A$51:$A$56)</c:f>
              <c:strCache>
                <c:ptCount val="10"/>
                <c:pt idx="0">
                  <c:v>EU - 15</c:v>
                </c:pt>
                <c:pt idx="1">
                  <c:v>EU - 10 NMS</c:v>
                </c:pt>
                <c:pt idx="2">
                  <c:v>Africa del Sur</c:v>
                </c:pt>
                <c:pt idx="3">
                  <c:v>Estados Unidos</c:v>
                </c:pt>
                <c:pt idx="4">
                  <c:v>Brasil</c:v>
                </c:pt>
                <c:pt idx="5">
                  <c:v>Chile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Nueva Zelanda</c:v>
                </c:pt>
              </c:strCache>
            </c:strRef>
          </c:cat>
          <c:val>
            <c:numRef>
              <c:f>('REINO UNIDO'!$N$44:$N$45,'REINO UNIDO'!$N$47:$N$48,'REINO UNIDO'!$N$51:$N$56)</c:f>
              <c:numCache>
                <c:ptCount val="10"/>
                <c:pt idx="0">
                  <c:v>5721.927219526649</c:v>
                </c:pt>
                <c:pt idx="1">
                  <c:v>4771.248541423571</c:v>
                </c:pt>
                <c:pt idx="2">
                  <c:v>6580.698642742121</c:v>
                </c:pt>
                <c:pt idx="3">
                  <c:v>78522</c:v>
                </c:pt>
                <c:pt idx="4">
                  <c:v>4555.529926901643</c:v>
                </c:pt>
                <c:pt idx="5">
                  <c:v>5041.849717514125</c:v>
                </c:pt>
                <c:pt idx="6">
                  <c:v>6402.704128440367</c:v>
                </c:pt>
                <c:pt idx="7">
                  <c:v>6710.952878787879</c:v>
                </c:pt>
                <c:pt idx="8">
                  <c:v>5944.744722102542</c:v>
                </c:pt>
                <c:pt idx="9">
                  <c:v>6226.832402234637</c:v>
                </c:pt>
              </c:numCache>
            </c:numRef>
          </c:val>
        </c:ser>
        <c:overlap val="100"/>
        <c:axId val="16053489"/>
        <c:axId val="10263674"/>
      </c:barChart>
      <c:catAx>
        <c:axId val="1605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05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Reino Unido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('REINO UNIDO'!$P$4:$P$5,'REINO UNIDO'!$P$7,'REINO UNIDO'!$P$11,'REINO UNIDO'!$P$13:$P$16)</c:f>
              <c:strCache/>
            </c:strRef>
          </c:cat>
          <c:val>
            <c:numRef>
              <c:f>('REINO UNIDO'!$AC$4:$AC$5,'REINO UNIDO'!$AC$7,'REINO UNIDO'!$AC$11,'REINO UNIDO'!$AC$13:$AC$16)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Reino Unido - Importaciones 2005 - Carne Vacuna Congelada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('REINO UNIDO'!$P$44:$P$45,'REINO UNIDO'!$P$47,'REINO UNIDO'!$P$51,'REINO UNIDO'!$P$53:$P$56)</c:f>
              <c:strCache>
                <c:ptCount val="8"/>
                <c:pt idx="0">
                  <c:v>EU - 15</c:v>
                </c:pt>
                <c:pt idx="1">
                  <c:v>EU - 10 NMS</c:v>
                </c:pt>
                <c:pt idx="2">
                  <c:v>Africa del Sur</c:v>
                </c:pt>
                <c:pt idx="3">
                  <c:v>Brasil</c:v>
                </c:pt>
                <c:pt idx="4">
                  <c:v>Uruguay</c:v>
                </c:pt>
                <c:pt idx="5">
                  <c:v>Argentina</c:v>
                </c:pt>
                <c:pt idx="6">
                  <c:v>Australia</c:v>
                </c:pt>
                <c:pt idx="7">
                  <c:v>Nueva Zelanda</c:v>
                </c:pt>
              </c:strCache>
            </c:strRef>
          </c:cat>
          <c:val>
            <c:numRef>
              <c:f>('REINO UNIDO'!$AC$44:$AC$45,'REINO UNIDO'!$AC$47,'REINO UNIDO'!$AC$51,'REINO UNIDO'!$AC$53:$AC$56)</c:f>
              <c:numCache>
                <c:ptCount val="8"/>
                <c:pt idx="0">
                  <c:v>3164.477348935088</c:v>
                </c:pt>
                <c:pt idx="1">
                  <c:v>3845.1275362318843</c:v>
                </c:pt>
                <c:pt idx="2">
                  <c:v>3080.555910543131</c:v>
                </c:pt>
                <c:pt idx="3">
                  <c:v>2465.5106058957904</c:v>
                </c:pt>
                <c:pt idx="4">
                  <c:v>3638.02416918429</c:v>
                </c:pt>
                <c:pt idx="5">
                  <c:v>2768.32430246664</c:v>
                </c:pt>
                <c:pt idx="6">
                  <c:v>2629.871794871795</c:v>
                </c:pt>
                <c:pt idx="7">
                  <c:v>4007.4285714285716</c:v>
                </c:pt>
              </c:numCache>
            </c:numRef>
          </c:val>
        </c:ser>
        <c:overlap val="100"/>
        <c:axId val="25264203"/>
        <c:axId val="26051236"/>
      </c:barChart>
      <c:catAx>
        <c:axId val="2526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051236"/>
        <c:crosses val="autoZero"/>
        <c:auto val="1"/>
        <c:lblOffset val="100"/>
        <c:noMultiLvlLbl val="0"/>
      </c:catAx>
      <c:valAx>
        <c:axId val="26051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26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Paises Bajos - Importaciones 2005 -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('PAISES BAJOS'!$A$4:$A$5,'PAISES BAJOS'!$A$8,'PAISES BAJOS'!$A$11:$A$14,'PAISES BAJOS'!$A$16)</c:f>
              <c:strCache/>
            </c:strRef>
          </c:cat>
          <c:val>
            <c:numRef>
              <c:f>('PAISES BAJOS'!$N$4:$N$5,'PAISES BAJOS'!$N$8,'PAISES BAJOS'!$N$11:$N$14,'PAISES BAJOS'!$N$16)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Paises Bajos - Importaciones 2005 - Carne Vacuna Enfriada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('PAISES BAJOS'!$A$44:$A$45,'PAISES BAJOS'!$A$48,'PAISES BAJOS'!$A$51:$A$54,'PAISES BAJOS'!$A$56)</c:f>
              <c:strCache/>
            </c:strRef>
          </c:cat>
          <c:val>
            <c:numRef>
              <c:f>('PAISES BAJOS'!$N$44:$N$45,'PAISES BAJOS'!$N$48,'PAISES BAJOS'!$N$51:$N$54,'PAISES BAJOS'!$N$56)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3134533"/>
        <c:axId val="29775342"/>
      </c:bar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3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Paises Bajos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('PAISES BAJOS'!$P$4:$P$6,'PAISES BAJOS'!$P$9,'PAISES BAJOS'!$P$11,'PAISES BAJOS'!$P$13:$P$14,'PAISES BAJOS'!$P$16)</c:f>
              <c:strCache/>
            </c:strRef>
          </c:cat>
          <c:val>
            <c:numRef>
              <c:f>('PAISES BAJOS'!$AC$4:$AC$6,'PAISES BAJOS'!$AC$9,'PAISES BAJOS'!$AC$11,'PAISES BAJOS'!$AC$13:$AC$14,'PAISES BAJOS'!$AC$16)</c:f>
              <c:numCache>
                <c:ptCount val="8"/>
                <c:pt idx="0">
                  <c:v>14658</c:v>
                </c:pt>
                <c:pt idx="1">
                  <c:v>539</c:v>
                </c:pt>
                <c:pt idx="2">
                  <c:v>16</c:v>
                </c:pt>
                <c:pt idx="3">
                  <c:v>36</c:v>
                </c:pt>
                <c:pt idx="4">
                  <c:v>17411</c:v>
                </c:pt>
                <c:pt idx="5">
                  <c:v>881</c:v>
                </c:pt>
                <c:pt idx="6">
                  <c:v>1102</c:v>
                </c:pt>
                <c:pt idx="7">
                  <c:v>14658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Paises Bajos - Importaciones 2005 - Carne Vacuna Congelada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('PAISES BAJOS'!$P$44:$P$46,'PAISES BAJOS'!$P$49,'PAISES BAJOS'!$P$51,'PAISES BAJOS'!$P$53:$P$54,'PAISES BAJOS'!$P$56)</c:f>
              <c:strCache/>
            </c:strRef>
          </c:cat>
          <c:val>
            <c:numRef>
              <c:f>('PAISES BAJOS'!$AC$44:$AC$46,'PAISES BAJOS'!$AC$49,'PAISES BAJOS'!$AC$51,'PAISES BAJOS'!$AC$53:$AC$54,'PAISES BAJOS'!$AC$56)</c:f>
              <c:numCache>
                <c:ptCount val="8"/>
                <c:pt idx="0">
                  <c:v>3971.529199072179</c:v>
                </c:pt>
                <c:pt idx="1">
                  <c:v>2887.940630797774</c:v>
                </c:pt>
                <c:pt idx="2">
                  <c:v>7713.3125</c:v>
                </c:pt>
                <c:pt idx="3">
                  <c:v>8779.361111111111</c:v>
                </c:pt>
                <c:pt idx="4">
                  <c:v>3949.6576302337603</c:v>
                </c:pt>
                <c:pt idx="5">
                  <c:v>5219.522133938706</c:v>
                </c:pt>
                <c:pt idx="6">
                  <c:v>3685.621597096189</c:v>
                </c:pt>
                <c:pt idx="7">
                  <c:v>4338.874189461131</c:v>
                </c:pt>
              </c:numCache>
            </c:numRef>
          </c:val>
        </c:ser>
        <c:overlap val="100"/>
        <c:axId val="66651487"/>
        <c:axId val="62992472"/>
      </c:barChart>
      <c:catAx>
        <c:axId val="6665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92472"/>
        <c:crosses val="autoZero"/>
        <c:auto val="1"/>
        <c:lblOffset val="100"/>
        <c:noMultiLvlLbl val="0"/>
      </c:catAx>
      <c:valAx>
        <c:axId val="62992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51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España - Impotaciones 2005 -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(ESPAÑA!$A$4:$A$6,ESPAÑA!$A$11,ESPAÑA!$A$13:$A$14,ESPAÑA!$A$16)</c:f>
              <c:strCache/>
            </c:strRef>
          </c:cat>
          <c:val>
            <c:numRef>
              <c:f>(ESPAÑA!$N$4:$N$6,ESPAÑA!$N$11,ESPAÑA!$N$13:$N$14,ESPAÑA!$N$16)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España - Importaciones 2005 - Carne Vacuna Enfriada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(ESPAÑA!$A$44:$A$46,ESPAÑA!$A$51,ESPAÑA!$A$53:$A$54,ESPAÑA!$A$56)</c:f>
              <c:strCache>
                <c:ptCount val="7"/>
                <c:pt idx="0">
                  <c:v>EU - 15</c:v>
                </c:pt>
                <c:pt idx="1">
                  <c:v>EU - 10 NMS</c:v>
                </c:pt>
                <c:pt idx="2">
                  <c:v>Otros Europa</c:v>
                </c:pt>
                <c:pt idx="3">
                  <c:v>Brasil</c:v>
                </c:pt>
                <c:pt idx="4">
                  <c:v>Uruguay</c:v>
                </c:pt>
                <c:pt idx="5">
                  <c:v>Argentina</c:v>
                </c:pt>
                <c:pt idx="6">
                  <c:v>Nueva Zelanda</c:v>
                </c:pt>
              </c:strCache>
            </c:strRef>
          </c:cat>
          <c:val>
            <c:numRef>
              <c:f>(ESPAÑA!$N$44:$N$46,ESPAÑA!$N$51,ESPAÑA!$N$53:$N$54,ESPAÑA!$N$56)</c:f>
              <c:numCache>
                <c:ptCount val="7"/>
                <c:pt idx="0">
                  <c:v>8895.106010503792</c:v>
                </c:pt>
                <c:pt idx="1">
                  <c:v>3791.958314544051</c:v>
                </c:pt>
                <c:pt idx="2">
                  <c:v>3113.129</c:v>
                </c:pt>
                <c:pt idx="3">
                  <c:v>5229.2700290577</c:v>
                </c:pt>
                <c:pt idx="4">
                  <c:v>6033.1020501138955</c:v>
                </c:pt>
                <c:pt idx="5">
                  <c:v>7061.47982945228</c:v>
                </c:pt>
                <c:pt idx="6">
                  <c:v>17822.708</c:v>
                </c:pt>
              </c:numCache>
            </c:numRef>
          </c:val>
        </c:ser>
        <c:overlap val="100"/>
        <c:axId val="30061337"/>
        <c:axId val="2116578"/>
      </c:barChart>
      <c:catAx>
        <c:axId val="3006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auto val="1"/>
        <c:lblOffset val="100"/>
        <c:noMultiLvlLbl val="0"/>
      </c:catAx>
      <c:valAx>
        <c:axId val="2116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España - Impotaciones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(ESPAÑA!$P$4:$P$6,ESPAÑA!$P$11,ESPAÑA!$P$13:$P$14,ESPAÑA!$P$16)</c:f>
              <c:strCache>
                <c:ptCount val="7"/>
                <c:pt idx="0">
                  <c:v>EU - 15</c:v>
                </c:pt>
                <c:pt idx="1">
                  <c:v>EU - 10 NMS</c:v>
                </c:pt>
                <c:pt idx="2">
                  <c:v>Otros Europa</c:v>
                </c:pt>
                <c:pt idx="3">
                  <c:v>Brasil</c:v>
                </c:pt>
                <c:pt idx="4">
                  <c:v>Uruguay</c:v>
                </c:pt>
                <c:pt idx="5">
                  <c:v>Argentina</c:v>
                </c:pt>
                <c:pt idx="6">
                  <c:v>Nueva Zelanda</c:v>
                </c:pt>
              </c:strCache>
            </c:strRef>
          </c:cat>
          <c:val>
            <c:numRef>
              <c:f>(ESPAÑA!$AC$4:$AC$6,ESPAÑA!$AC$11,ESPAÑA!$AC$13:$AC$14,ESPAÑA!$AC$16)</c:f>
              <c:numCache>
                <c:ptCount val="7"/>
                <c:pt idx="0">
                  <c:v>9771</c:v>
                </c:pt>
                <c:pt idx="1">
                  <c:v>96</c:v>
                </c:pt>
                <c:pt idx="2">
                  <c:v>23</c:v>
                </c:pt>
                <c:pt idx="3">
                  <c:v>12940</c:v>
                </c:pt>
                <c:pt idx="4">
                  <c:v>2685</c:v>
                </c:pt>
                <c:pt idx="5">
                  <c:v>1053</c:v>
                </c:pt>
                <c:pt idx="6">
                  <c:v>107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Alemania - Importaciones 2005 - Carne Vacuna Enfriada Deshuesada - Precio Promedio CIF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ALEMANIA!$A$44:$A$56</c:f>
              <c:strCache>
                <c:ptCount val="13"/>
                <c:pt idx="0">
                  <c:v>EU - 15</c:v>
                </c:pt>
                <c:pt idx="1">
                  <c:v>EU - 10 NMS</c:v>
                </c:pt>
                <c:pt idx="2">
                  <c:v>Otros Europa</c:v>
                </c:pt>
                <c:pt idx="3">
                  <c:v>Africa del Sur</c:v>
                </c:pt>
                <c:pt idx="4">
                  <c:v>Estados Unidos</c:v>
                </c:pt>
                <c:pt idx="5">
                  <c:v>Canadá</c:v>
                </c:pt>
                <c:pt idx="6">
                  <c:v>Centroamérica y Caribe</c:v>
                </c:pt>
                <c:pt idx="7">
                  <c:v>Brasil</c:v>
                </c:pt>
                <c:pt idx="8">
                  <c:v>Chile</c:v>
                </c:pt>
                <c:pt idx="9">
                  <c:v>Uruguay</c:v>
                </c:pt>
                <c:pt idx="10">
                  <c:v>Argentina</c:v>
                </c:pt>
                <c:pt idx="11">
                  <c:v>Australia</c:v>
                </c:pt>
                <c:pt idx="12">
                  <c:v>Nueva Zelanda</c:v>
                </c:pt>
              </c:strCache>
            </c:strRef>
          </c:cat>
          <c:val>
            <c:numRef>
              <c:f>ALEMANIA!$N$44:$N$56</c:f>
              <c:numCache>
                <c:ptCount val="13"/>
                <c:pt idx="0">
                  <c:v>5877.935717817702</c:v>
                </c:pt>
                <c:pt idx="1">
                  <c:v>3430.5404595404593</c:v>
                </c:pt>
                <c:pt idx="2">
                  <c:v>5636.125</c:v>
                </c:pt>
                <c:pt idx="3">
                  <c:v>8069.382398753894</c:v>
                </c:pt>
                <c:pt idx="4">
                  <c:v>8637.384615384615</c:v>
                </c:pt>
                <c:pt idx="5">
                  <c:v>13703.852760736196</c:v>
                </c:pt>
                <c:pt idx="6">
                  <c:v>7613</c:v>
                </c:pt>
                <c:pt idx="7">
                  <c:v>5854.157863457395</c:v>
                </c:pt>
                <c:pt idx="8">
                  <c:v>5927.23097826087</c:v>
                </c:pt>
                <c:pt idx="9">
                  <c:v>7322.062105263158</c:v>
                </c:pt>
                <c:pt idx="10">
                  <c:v>7102.382443548131</c:v>
                </c:pt>
                <c:pt idx="11">
                  <c:v>16564.701912260967</c:v>
                </c:pt>
                <c:pt idx="12">
                  <c:v>13521.163366336634</c:v>
                </c:pt>
              </c:numCache>
            </c:numRef>
          </c:val>
        </c:ser>
        <c:overlap val="100"/>
        <c:axId val="59496649"/>
        <c:axId val="65707794"/>
      </c:bar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07794"/>
        <c:crosses val="autoZero"/>
        <c:auto val="1"/>
        <c:lblOffset val="100"/>
        <c:noMultiLvlLbl val="0"/>
      </c:catAx>
      <c:valAx>
        <c:axId val="65707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9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España - Importaciones 2005 - Carne Vacuna Congelada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(ESPAÑA!$P$44:$P$46,ESPAÑA!$P$51,ESPAÑA!$P$53:$P$54,ESPAÑA!$P$56)</c:f>
              <c:strCache>
                <c:ptCount val="7"/>
                <c:pt idx="0">
                  <c:v>EU - 15</c:v>
                </c:pt>
                <c:pt idx="1">
                  <c:v>EU - 10 NMS</c:v>
                </c:pt>
                <c:pt idx="2">
                  <c:v>Otros Europa</c:v>
                </c:pt>
                <c:pt idx="3">
                  <c:v>Brasil</c:v>
                </c:pt>
                <c:pt idx="4">
                  <c:v>Uruguay</c:v>
                </c:pt>
                <c:pt idx="5">
                  <c:v>Argentina</c:v>
                </c:pt>
                <c:pt idx="6">
                  <c:v>Nueva Zelanda</c:v>
                </c:pt>
              </c:strCache>
            </c:strRef>
          </c:cat>
          <c:val>
            <c:numRef>
              <c:f>(ESPAÑA!$AC$44:$AC$46,ESPAÑA!$AC$51,ESPAÑA!$AC$53:$AC$54,ESPAÑA!$AC$56)</c:f>
              <c:numCache>
                <c:ptCount val="7"/>
                <c:pt idx="0">
                  <c:v>3729.51233241224</c:v>
                </c:pt>
                <c:pt idx="1">
                  <c:v>3120.8854166666665</c:v>
                </c:pt>
                <c:pt idx="2">
                  <c:v>4355.608695652174</c:v>
                </c:pt>
                <c:pt idx="3">
                  <c:v>3670.5061051004636</c:v>
                </c:pt>
                <c:pt idx="4">
                  <c:v>5470.077094972067</c:v>
                </c:pt>
                <c:pt idx="5">
                  <c:v>3056.2735042735044</c:v>
                </c:pt>
              </c:numCache>
            </c:numRef>
          </c:val>
        </c:ser>
        <c:overlap val="100"/>
        <c:axId val="19049203"/>
        <c:axId val="37225100"/>
      </c:barChart>
      <c:catAx>
        <c:axId val="190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49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Francia - Importaciones 2005 -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('[1]FRANCIA'!$A$4:$A$5,'[1]FRANCIA'!$A$7:$A$9,'[1]FRANCIA'!$A$11,'[1]FRANCIA'!$A$13:$A$17)</c:f>
              <c:strCache>
                <c:ptCount val="11"/>
                <c:pt idx="0">
                  <c:v>EU - 15</c:v>
                </c:pt>
                <c:pt idx="1">
                  <c:v>EU - 10 NMS</c:v>
                </c:pt>
                <c:pt idx="2">
                  <c:v>Africa del Sur</c:v>
                </c:pt>
                <c:pt idx="3">
                  <c:v>Estados Unidos</c:v>
                </c:pt>
                <c:pt idx="4">
                  <c:v>Canadá</c:v>
                </c:pt>
                <c:pt idx="5">
                  <c:v>Brasil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Nueva Zelanda</c:v>
                </c:pt>
                <c:pt idx="10">
                  <c:v>Otros - Irán/Malí</c:v>
                </c:pt>
              </c:strCache>
            </c:strRef>
          </c:cat>
          <c:val>
            <c:numRef>
              <c:f>('[1]FRANCIA'!$N$4:$N$5,'[1]FRANCIA'!$N$7,'[1]FRANCIA'!$N$8,'[1]FRANCIA'!$N$9,'[1]FRANCIA'!$N$11,'[1]FRANCIA'!$N$13:$N$17)</c:f>
              <c:numCache>
                <c:ptCount val="11"/>
                <c:pt idx="0">
                  <c:v>87335</c:v>
                </c:pt>
                <c:pt idx="1">
                  <c:v>924</c:v>
                </c:pt>
                <c:pt idx="2">
                  <c:v>650</c:v>
                </c:pt>
                <c:pt idx="3">
                  <c:v>9</c:v>
                </c:pt>
                <c:pt idx="4">
                  <c:v>542</c:v>
                </c:pt>
                <c:pt idx="5">
                  <c:v>2291</c:v>
                </c:pt>
                <c:pt idx="6">
                  <c:v>331</c:v>
                </c:pt>
                <c:pt idx="7">
                  <c:v>321</c:v>
                </c:pt>
                <c:pt idx="8">
                  <c:v>3</c:v>
                </c:pt>
                <c:pt idx="9">
                  <c:v>104</c:v>
                </c:pt>
                <c:pt idx="10">
                  <c:v>266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Francia - Importaciones 2005 - Carne Vacuna Enfriada Deshuesada - Precio promedio CIF en U$S/TN</a:t>
            </a:r>
          </a:p>
        </c:rich>
      </c:tx>
      <c:layout>
        <c:manualLayout>
          <c:xMode val="factor"/>
          <c:yMode val="factor"/>
          <c:x val="-0.006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85"/>
          <c:w val="0.973"/>
          <c:h val="0.791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('[1]FRANCIA'!$A$44:$A$45,'[1]FRANCIA'!$A$47:$A$49,'[1]FRANCIA'!$A$51,'[1]FRANCIA'!$A$53:$A$57)</c:f>
              <c:strCache>
                <c:ptCount val="11"/>
                <c:pt idx="0">
                  <c:v>EU - 15</c:v>
                </c:pt>
                <c:pt idx="1">
                  <c:v>EU - 10 NMS</c:v>
                </c:pt>
                <c:pt idx="2">
                  <c:v>Africa del Sur</c:v>
                </c:pt>
                <c:pt idx="3">
                  <c:v>Estados Unidos</c:v>
                </c:pt>
                <c:pt idx="4">
                  <c:v>Canadá</c:v>
                </c:pt>
                <c:pt idx="5">
                  <c:v>Brasil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Nueva Zelanda</c:v>
                </c:pt>
                <c:pt idx="10">
                  <c:v>Otros - Irán/Malí</c:v>
                </c:pt>
              </c:strCache>
            </c:strRef>
          </c:cat>
          <c:val>
            <c:numRef>
              <c:f>('[1]FRANCIA'!$N$44:$N$45,'[1]FRANCIA'!$N$47:$N$49,'[1]FRANCIA'!$N$51,'[1]FRANCIA'!$N$53:$N$57)</c:f>
              <c:numCache>
                <c:ptCount val="11"/>
                <c:pt idx="0">
                  <c:v>5736.702112555104</c:v>
                </c:pt>
                <c:pt idx="1">
                  <c:v>2732.340909090909</c:v>
                </c:pt>
                <c:pt idx="2">
                  <c:v>9237.224615384615</c:v>
                </c:pt>
                <c:pt idx="3">
                  <c:v>8722.222222222223</c:v>
                </c:pt>
                <c:pt idx="4">
                  <c:v>7831.512915129151</c:v>
                </c:pt>
                <c:pt idx="5">
                  <c:v>5285.419903972064</c:v>
                </c:pt>
                <c:pt idx="6">
                  <c:v>5961.589123867069</c:v>
                </c:pt>
                <c:pt idx="7">
                  <c:v>7291.1246105919</c:v>
                </c:pt>
                <c:pt idx="8">
                  <c:v>36320.666666666664</c:v>
                </c:pt>
                <c:pt idx="9">
                  <c:v>6745.596153846154</c:v>
                </c:pt>
                <c:pt idx="10">
                  <c:v>7269.387218045113</c:v>
                </c:pt>
              </c:numCache>
            </c:numRef>
          </c:val>
        </c:ser>
        <c:overlap val="100"/>
        <c:axId val="66590445"/>
        <c:axId val="62443094"/>
      </c:bar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9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Francia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('[1]FRANCIA'!$P$4:$P$5,'[1]FRANCIA'!$P$7,'[1]FRANCIA'!$P$9,'[1]FRANCIA'!$P$11,'[1]FRANCIA'!$P$13:$P$14,'[1]FRANCIA'!$P$16,'[1]FRANCIA'!$P$17)</c:f>
              <c:strCache>
                <c:ptCount val="9"/>
                <c:pt idx="0">
                  <c:v>EU - 15</c:v>
                </c:pt>
                <c:pt idx="1">
                  <c:v>EU - 10 NMS</c:v>
                </c:pt>
                <c:pt idx="2">
                  <c:v>Africa del Sur</c:v>
                </c:pt>
                <c:pt idx="3">
                  <c:v>Canadá</c:v>
                </c:pt>
                <c:pt idx="4">
                  <c:v>Brasil</c:v>
                </c:pt>
                <c:pt idx="5">
                  <c:v>Uruguay</c:v>
                </c:pt>
                <c:pt idx="6">
                  <c:v>Argentina</c:v>
                </c:pt>
                <c:pt idx="7">
                  <c:v>Nueva Zelanda</c:v>
                </c:pt>
                <c:pt idx="8">
                  <c:v>Otros - Irán</c:v>
                </c:pt>
              </c:strCache>
            </c:strRef>
          </c:cat>
          <c:val>
            <c:numRef>
              <c:f>('[1]FRANCIA'!$AC$4:$AC$5,'[1]FRANCIA'!$AC$7,'[1]FRANCIA'!$AC$9,'[1]FRANCIA'!$AC$11,'[1]FRANCIA'!$AC$13:$AC$14,'[1]FRANCIA'!$AC$16:$AC$17)</c:f>
              <c:numCache>
                <c:ptCount val="9"/>
                <c:pt idx="0">
                  <c:v>41901</c:v>
                </c:pt>
                <c:pt idx="1">
                  <c:v>154</c:v>
                </c:pt>
                <c:pt idx="2">
                  <c:v>283</c:v>
                </c:pt>
                <c:pt idx="3">
                  <c:v>257</c:v>
                </c:pt>
                <c:pt idx="4">
                  <c:v>651</c:v>
                </c:pt>
                <c:pt idx="5">
                  <c:v>461</c:v>
                </c:pt>
                <c:pt idx="6">
                  <c:v>1756</c:v>
                </c:pt>
                <c:pt idx="7">
                  <c:v>42</c:v>
                </c:pt>
                <c:pt idx="8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Francia - Importaciones 2005 - Carne Vacuna Congelada Deshuesada - Precio promedio CIF en U$S/TN</a:t>
            </a:r>
          </a:p>
        </c:rich>
      </c:tx>
      <c:layout>
        <c:manualLayout>
          <c:xMode val="factor"/>
          <c:yMode val="factor"/>
          <c:x val="-0.006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8"/>
          <c:w val="0.973"/>
          <c:h val="0.792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('[1]FRANCIA'!$P$44:$P$45,'[1]FRANCIA'!$P$47,'[1]FRANCIA'!$P$49,'[1]FRANCIA'!$P$51,'[1]FRANCIA'!$P$53:$P$54,'[1]FRANCIA'!$P$56,'[1]FRANCIA'!$P$57)</c:f>
              <c:strCache>
                <c:ptCount val="9"/>
                <c:pt idx="0">
                  <c:v>EU - 15</c:v>
                </c:pt>
                <c:pt idx="1">
                  <c:v>EU - 10 NMS</c:v>
                </c:pt>
                <c:pt idx="2">
                  <c:v>Africa del Sur</c:v>
                </c:pt>
                <c:pt idx="3">
                  <c:v>Canadá</c:v>
                </c:pt>
                <c:pt idx="4">
                  <c:v>Brasil</c:v>
                </c:pt>
                <c:pt idx="5">
                  <c:v>Uruguay</c:v>
                </c:pt>
                <c:pt idx="6">
                  <c:v>Argentina</c:v>
                </c:pt>
                <c:pt idx="7">
                  <c:v>Nueva Zelanda</c:v>
                </c:pt>
                <c:pt idx="8">
                  <c:v>Otros - Irán</c:v>
                </c:pt>
              </c:strCache>
            </c:strRef>
          </c:cat>
          <c:val>
            <c:numRef>
              <c:f>('[1]FRANCIA'!$AC$44:$AC$45,'[1]FRANCIA'!$AC$47,'[1]FRANCIA'!$AC$49,'[1]FRANCIA'!$AC$51,'[1]FRANCIA'!$AC$53:$AC$54,'[1]FRANCIA'!$AC$56:$AC$57)</c:f>
              <c:numCache>
                <c:ptCount val="9"/>
                <c:pt idx="0">
                  <c:v>2871.776616309873</c:v>
                </c:pt>
                <c:pt idx="1">
                  <c:v>2790.9220779220777</c:v>
                </c:pt>
                <c:pt idx="2">
                  <c:v>2774.6395759717316</c:v>
                </c:pt>
                <c:pt idx="3">
                  <c:v>4902.688715953307</c:v>
                </c:pt>
                <c:pt idx="4">
                  <c:v>3357.7296466973885</c:v>
                </c:pt>
                <c:pt idx="5">
                  <c:v>4082.1713665943603</c:v>
                </c:pt>
                <c:pt idx="6">
                  <c:v>4715.526765375855</c:v>
                </c:pt>
                <c:pt idx="7">
                  <c:v>8670.690476190477</c:v>
                </c:pt>
                <c:pt idx="8">
                  <c:v>1925.8</c:v>
                </c:pt>
              </c:numCache>
            </c:numRef>
          </c:val>
        </c:ser>
        <c:overlap val="100"/>
        <c:axId val="25116935"/>
        <c:axId val="24725824"/>
      </c:bar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25824"/>
        <c:crosses val="autoZero"/>
        <c:auto val="1"/>
        <c:lblOffset val="100"/>
        <c:noMultiLvlLbl val="0"/>
      </c:catAx>
      <c:valAx>
        <c:axId val="24725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16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Rusia - Importaciones 2005 - Carne Vacuna Enfriada Deshuesada - Parcial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('[1]RUSIA'!$A$4:$A$5,'[1]RUSIA'!$A$8,'[1]RUSIA'!$A$11,'[1]RUSIA'!$A$14:$A$15)</c:f>
              <c:strCache>
                <c:ptCount val="6"/>
                <c:pt idx="0">
                  <c:v>EU - 15</c:v>
                </c:pt>
                <c:pt idx="1">
                  <c:v>EU - 10 NMS</c:v>
                </c:pt>
                <c:pt idx="2">
                  <c:v>Estados Unidos</c:v>
                </c:pt>
                <c:pt idx="3">
                  <c:v>Brasil</c:v>
                </c:pt>
                <c:pt idx="4">
                  <c:v>Argentina</c:v>
                </c:pt>
                <c:pt idx="5">
                  <c:v>Australia</c:v>
                </c:pt>
              </c:strCache>
            </c:strRef>
          </c:cat>
          <c:val>
            <c:numRef>
              <c:f>('[1]RUSIA'!$N$4:$N$5,'[1]RUSIA'!$N$8,'[1]RUSIA'!$N$11,'[1]RUSIA'!$N$14:$N$15)</c:f>
              <c:numCache>
                <c:ptCount val="6"/>
                <c:pt idx="0">
                  <c:v>15457</c:v>
                </c:pt>
                <c:pt idx="1">
                  <c:v>8349</c:v>
                </c:pt>
                <c:pt idx="2">
                  <c:v>51</c:v>
                </c:pt>
                <c:pt idx="3">
                  <c:v>333</c:v>
                </c:pt>
                <c:pt idx="4">
                  <c:v>163</c:v>
                </c:pt>
                <c:pt idx="5">
                  <c:v>351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Rusia - Importaciones 2005 - Carne Vacuna Enfriada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('[1]RUSIA'!$A$44:$A$46,'[1]RUSIA'!$A$48,'[1]RUSIA'!$A$51,'[1]RUSIA'!$A$54:$A$56)</c:f>
              <c:strCache>
                <c:ptCount val="8"/>
                <c:pt idx="0">
                  <c:v>EU - 15</c:v>
                </c:pt>
                <c:pt idx="1">
                  <c:v>EU - 10 NMS</c:v>
                </c:pt>
                <c:pt idx="2">
                  <c:v>Otros Europa</c:v>
                </c:pt>
                <c:pt idx="3">
                  <c:v>Estados Unidos</c:v>
                </c:pt>
                <c:pt idx="4">
                  <c:v>Brasil</c:v>
                </c:pt>
                <c:pt idx="5">
                  <c:v>Argentina</c:v>
                </c:pt>
                <c:pt idx="6">
                  <c:v>Australia</c:v>
                </c:pt>
                <c:pt idx="7">
                  <c:v>Nueva Zelanda</c:v>
                </c:pt>
              </c:strCache>
            </c:strRef>
          </c:cat>
          <c:val>
            <c:numRef>
              <c:f>('[1]RUSIA'!$N$44:$N$46,'[1]RUSIA'!$N$48,'[1]RUSIA'!$N$51,'[1]RUSIA'!$N$54:$N$56)</c:f>
              <c:numCache>
                <c:ptCount val="8"/>
                <c:pt idx="0">
                  <c:v>5194.908067542214</c:v>
                </c:pt>
                <c:pt idx="1">
                  <c:v>2116.702838663313</c:v>
                </c:pt>
                <c:pt idx="3">
                  <c:v>2294.549019607843</c:v>
                </c:pt>
                <c:pt idx="4">
                  <c:v>2189.891891891892</c:v>
                </c:pt>
                <c:pt idx="5">
                  <c:v>7939.748466257669</c:v>
                </c:pt>
                <c:pt idx="6">
                  <c:v>10572.361823361824</c:v>
                </c:pt>
                <c:pt idx="7">
                  <c:v>11210</c:v>
                </c:pt>
              </c:numCache>
            </c:numRef>
          </c:val>
        </c:ser>
        <c:overlap val="100"/>
        <c:axId val="21205825"/>
        <c:axId val="56634698"/>
      </c:bar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0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Rusia - Importaciones 2005 - Carne Vacuna Congelada Deshuesada - Parcial - Toneladas</a:t>
            </a:r>
          </a:p>
        </c:rich>
      </c:tx>
      <c:layout>
        <c:manualLayout>
          <c:xMode val="factor"/>
          <c:yMode val="factor"/>
          <c:x val="-0.009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25"/>
          <c:y val="0.3465"/>
          <c:w val="0.5635"/>
          <c:h val="0.48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('[1]RUSIA'!$P$4:$P$6,'[1]RUSIA'!$P$8,'[1]RUSIA'!$P$11,'[1]RUSIA'!$P$14:$P$16)</c:f>
              <c:strCache>
                <c:ptCount val="8"/>
                <c:pt idx="0">
                  <c:v>EU - 15</c:v>
                </c:pt>
                <c:pt idx="1">
                  <c:v>EU - 10 NMS</c:v>
                </c:pt>
                <c:pt idx="2">
                  <c:v>Otros Europa</c:v>
                </c:pt>
                <c:pt idx="3">
                  <c:v>Estados Unidos</c:v>
                </c:pt>
                <c:pt idx="4">
                  <c:v>Brasil</c:v>
                </c:pt>
                <c:pt idx="5">
                  <c:v>Argentina</c:v>
                </c:pt>
                <c:pt idx="6">
                  <c:v>Australia</c:v>
                </c:pt>
                <c:pt idx="7">
                  <c:v>Nueva Zelanda</c:v>
                </c:pt>
              </c:strCache>
            </c:strRef>
          </c:cat>
          <c:val>
            <c:numRef>
              <c:f>('[1]RUSIA'!$AC$4:$AC$6,'[1]RUSIA'!$AC$8,'[1]RUSIA'!$AC$11,'[1]RUSIA'!$AC$14:$AC$16)</c:f>
              <c:numCache>
                <c:ptCount val="8"/>
                <c:pt idx="0">
                  <c:v>63962</c:v>
                </c:pt>
                <c:pt idx="1">
                  <c:v>736</c:v>
                </c:pt>
                <c:pt idx="2">
                  <c:v>21</c:v>
                </c:pt>
                <c:pt idx="3">
                  <c:v>317</c:v>
                </c:pt>
                <c:pt idx="4">
                  <c:v>294319</c:v>
                </c:pt>
                <c:pt idx="5">
                  <c:v>192380</c:v>
                </c:pt>
                <c:pt idx="6">
                  <c:v>898</c:v>
                </c:pt>
                <c:pt idx="7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Rusia - Importaciones 2005 - Carne Vacuna Congelada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('[1]RUSIA'!$P$44:$P$46,'[1]RUSIA'!$P$48,'[1]RUSIA'!$P$51,'[1]RUSIA'!$P$54:$P$56)</c:f>
              <c:strCache>
                <c:ptCount val="8"/>
                <c:pt idx="0">
                  <c:v>EU - 15</c:v>
                </c:pt>
                <c:pt idx="1">
                  <c:v>EU - 10 NMS</c:v>
                </c:pt>
                <c:pt idx="2">
                  <c:v>Otros Europa</c:v>
                </c:pt>
                <c:pt idx="3">
                  <c:v>Estados Unidos</c:v>
                </c:pt>
                <c:pt idx="4">
                  <c:v>Brasil</c:v>
                </c:pt>
                <c:pt idx="5">
                  <c:v>Argentina</c:v>
                </c:pt>
                <c:pt idx="6">
                  <c:v>Australia</c:v>
                </c:pt>
                <c:pt idx="7">
                  <c:v>Nueva Zelanda</c:v>
                </c:pt>
              </c:strCache>
            </c:strRef>
          </c:cat>
          <c:val>
            <c:numRef>
              <c:f>('[1]RUSIA'!$AC$44:$AC$46,'[1]RUSIA'!$AC$48,'[1]RUSIA'!$AC$51,'[1]RUSIA'!$AC$54:$AC$56)</c:f>
              <c:numCache>
                <c:ptCount val="8"/>
                <c:pt idx="0">
                  <c:v>2003.1428504424503</c:v>
                </c:pt>
                <c:pt idx="1">
                  <c:v>1294</c:v>
                </c:pt>
                <c:pt idx="2">
                  <c:v>2371.285714285714</c:v>
                </c:pt>
                <c:pt idx="3">
                  <c:v>1423.9842271293376</c:v>
                </c:pt>
                <c:pt idx="4">
                  <c:v>1884.1581549271368</c:v>
                </c:pt>
                <c:pt idx="5">
                  <c:v>1775.2041168520636</c:v>
                </c:pt>
                <c:pt idx="6">
                  <c:v>4946.720489977728</c:v>
                </c:pt>
                <c:pt idx="7">
                  <c:v>8720.125</c:v>
                </c:pt>
              </c:numCache>
            </c:numRef>
          </c:val>
        </c:ser>
        <c:overlap val="100"/>
        <c:axId val="39950235"/>
        <c:axId val="24007796"/>
      </c:bar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07796"/>
        <c:crosses val="autoZero"/>
        <c:auto val="1"/>
        <c:lblOffset val="100"/>
        <c:noMultiLvlLbl val="0"/>
      </c:catAx>
      <c:valAx>
        <c:axId val="24007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Egipto - Importaciones 2005 - Carne Vacuna Congelada - Parcial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(EGIPTO!$A$4,EGIPTO!$A$6:$A$7,EGIPTO!$A$8)</c:f>
              <c:strCache/>
            </c:strRef>
          </c:cat>
          <c:val>
            <c:numRef>
              <c:f>(EGIPTO!$N$4,EGIPTO!$N$6:$N$8)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Alemania - Importaciones 2005 - Carne Vacuna Congelada Deshuesada - Toneladas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Irán
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ALEMANIA!$P$4:$P$17</c:f>
              <c:strCache>
                <c:ptCount val="14"/>
                <c:pt idx="0">
                  <c:v>EU - 15</c:v>
                </c:pt>
                <c:pt idx="1">
                  <c:v>EU - 10 NMS</c:v>
                </c:pt>
                <c:pt idx="2">
                  <c:v>Otros Europa</c:v>
                </c:pt>
                <c:pt idx="3">
                  <c:v>Africa del Sur</c:v>
                </c:pt>
                <c:pt idx="4">
                  <c:v>Estados Unidos</c:v>
                </c:pt>
                <c:pt idx="5">
                  <c:v>Canadá</c:v>
                </c:pt>
                <c:pt idx="6">
                  <c:v>Centroamérica y Caribe</c:v>
                </c:pt>
                <c:pt idx="7">
                  <c:v>Brasil</c:v>
                </c:pt>
                <c:pt idx="8">
                  <c:v>Chile</c:v>
                </c:pt>
                <c:pt idx="9">
                  <c:v>Uruguay</c:v>
                </c:pt>
                <c:pt idx="10">
                  <c:v>Argentina</c:v>
                </c:pt>
                <c:pt idx="11">
                  <c:v>Australia</c:v>
                </c:pt>
                <c:pt idx="12">
                  <c:v>Nueva Zelanda</c:v>
                </c:pt>
                <c:pt idx="13">
                  <c:v>Otros - Irán</c:v>
                </c:pt>
              </c:strCache>
            </c:strRef>
          </c:cat>
          <c:val>
            <c:numRef>
              <c:f>ALEMANIA!$AC$4:$AC$17</c:f>
              <c:numCache>
                <c:ptCount val="14"/>
                <c:pt idx="0">
                  <c:v>14610</c:v>
                </c:pt>
                <c:pt idx="1">
                  <c:v>416</c:v>
                </c:pt>
                <c:pt idx="2">
                  <c:v>104</c:v>
                </c:pt>
                <c:pt idx="3">
                  <c:v>2833</c:v>
                </c:pt>
                <c:pt idx="4">
                  <c:v>7</c:v>
                </c:pt>
                <c:pt idx="5">
                  <c:v>60</c:v>
                </c:pt>
                <c:pt idx="7">
                  <c:v>3895</c:v>
                </c:pt>
                <c:pt idx="8">
                  <c:v>1</c:v>
                </c:pt>
                <c:pt idx="9">
                  <c:v>1997</c:v>
                </c:pt>
                <c:pt idx="10">
                  <c:v>2461</c:v>
                </c:pt>
                <c:pt idx="12">
                  <c:v>68</c:v>
                </c:pt>
                <c:pt idx="13">
                  <c:v>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Egipto - importaciones 2005 - Carne Vacuna Congelada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(EGIPTO!$A$28,EGIPTO!$A$30:$A$33)</c:f>
              <c:strCache/>
            </c:strRef>
          </c:cat>
          <c:val>
            <c:numRef>
              <c:f>(EGIPTO!$N$28,EGIPTO!$N$30:$N$33)</c:f>
              <c:numCache>
                <c:ptCount val="5"/>
                <c:pt idx="0">
                  <c:v>2022.7706422018348</c:v>
                </c:pt>
                <c:pt idx="1">
                  <c:v>1725.8465492375308</c:v>
                </c:pt>
                <c:pt idx="2">
                  <c:v>1991.545589600743</c:v>
                </c:pt>
                <c:pt idx="3">
                  <c:v>19772.16129032258</c:v>
                </c:pt>
                <c:pt idx="4">
                  <c:v>3118.2384105960264</c:v>
                </c:pt>
              </c:numCache>
            </c:numRef>
          </c:val>
        </c:ser>
        <c:overlap val="100"/>
        <c:axId val="14743573"/>
        <c:axId val="65583294"/>
      </c:bar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auto val="1"/>
        <c:lblOffset val="100"/>
        <c:noMultiLvlLbl val="0"/>
      </c:catAx>
      <c:valAx>
        <c:axId val="65583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4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Argelia - Importaciones 2005 - Carne Vacuna Congelada - Parcial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ARGELIA!$A$5:$A$8</c:f>
              <c:strCache/>
            </c:strRef>
          </c:cat>
          <c:val>
            <c:numRef>
              <c:f>ARGELIA!$N$5:$N$8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Argelia - Importaciones 2005 - Carne Vacuna Congelada - Precio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ARGELIA!$A$29:$A$32</c:f>
              <c:strCache/>
            </c:strRef>
          </c:cat>
          <c:val>
            <c:numRef>
              <c:f>ARGELIA!$N$29:$N$32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3378735"/>
        <c:axId val="10646568"/>
      </c:bar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46568"/>
        <c:crosses val="autoZero"/>
        <c:auto val="1"/>
        <c:lblOffset val="100"/>
        <c:noMultiLvlLbl val="0"/>
      </c:catAx>
      <c:valAx>
        <c:axId val="10646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78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Emiratos Árabes Unidos - Importaciones 2005 - Carne Vacuna Enfriada Deshuesada - Parcial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(EAU!$A$4,EAU!$A$7,EAU!$A$9:$A$11)</c:f>
              <c:strCache/>
            </c:strRef>
          </c:cat>
          <c:val>
            <c:numRef>
              <c:f>(EAU!$N$4,EAU!$N$7,EAU!$N$9:$N$11)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Emiratos Árabes Unidos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(EAU!$A$34,EAU!$A$36:$A$37,EAU!$A$39:$A$41)</c:f>
              <c:strCache>
                <c:ptCount val="6"/>
                <c:pt idx="0">
                  <c:v>Estados Unidos</c:v>
                </c:pt>
                <c:pt idx="1">
                  <c:v>Sudáfrica</c:v>
                </c:pt>
                <c:pt idx="2">
                  <c:v>Brasil</c:v>
                </c:pt>
                <c:pt idx="3">
                  <c:v>China</c:v>
                </c:pt>
                <c:pt idx="4">
                  <c:v>Australia</c:v>
                </c:pt>
                <c:pt idx="5">
                  <c:v>Nueva Zelanda</c:v>
                </c:pt>
              </c:strCache>
            </c:strRef>
          </c:cat>
          <c:val>
            <c:numRef>
              <c:f>(EAU!$N$34,EAU!$N$36:$N$37,EAU!$N$39:$N$41)</c:f>
              <c:numCache>
                <c:ptCount val="6"/>
                <c:pt idx="0">
                  <c:v>8581.17441860465</c:v>
                </c:pt>
                <c:pt idx="1">
                  <c:v>1834</c:v>
                </c:pt>
                <c:pt idx="2">
                  <c:v>2899.5500521376434</c:v>
                </c:pt>
                <c:pt idx="3">
                  <c:v>2485.9473684210525</c:v>
                </c:pt>
                <c:pt idx="4">
                  <c:v>9196.150353178607</c:v>
                </c:pt>
                <c:pt idx="5">
                  <c:v>5772.850730688935</c:v>
                </c:pt>
              </c:numCache>
            </c:numRef>
          </c:val>
        </c:ser>
        <c:overlap val="100"/>
        <c:axId val="28710249"/>
        <c:axId val="57065650"/>
      </c:bar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65650"/>
        <c:crosses val="autoZero"/>
        <c:auto val="1"/>
        <c:lblOffset val="100"/>
        <c:noMultiLvlLbl val="0"/>
      </c:catAx>
      <c:valAx>
        <c:axId val="57065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Emiratos Árabes Unidos - Importaciones 2005 - Carne Vacuna Congelada Deshuesada - Parcial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(EAU!$P$4:$P$7,EAU!$P$9:$P$11)</c:f>
              <c:strCache/>
            </c:strRef>
          </c:cat>
          <c:val>
            <c:numRef>
              <c:f>(EAU!$AC$4:$AC$7,EAU!$AC$9:$AC$11)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Emiratos Árabes Unidos - Importaciones 2005 - Carne Vacuna Congelada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(EAU!$P$34:$P$37,EAU!$P$39:$P$41)</c:f>
              <c:strCache>
                <c:ptCount val="7"/>
                <c:pt idx="0">
                  <c:v>Estados Unidos</c:v>
                </c:pt>
                <c:pt idx="1">
                  <c:v>EU - 15</c:v>
                </c:pt>
                <c:pt idx="2">
                  <c:v>Sudáfrica</c:v>
                </c:pt>
                <c:pt idx="3">
                  <c:v>Brasil</c:v>
                </c:pt>
                <c:pt idx="4">
                  <c:v>China</c:v>
                </c:pt>
                <c:pt idx="5">
                  <c:v>Australia</c:v>
                </c:pt>
                <c:pt idx="6">
                  <c:v>Nueva Zelanda</c:v>
                </c:pt>
              </c:strCache>
            </c:strRef>
          </c:cat>
          <c:val>
            <c:numRef>
              <c:f>(EAU!$AC$34:$AC$37,EAU!$AC$39:$AC$41)</c:f>
              <c:numCache>
                <c:ptCount val="7"/>
                <c:pt idx="0">
                  <c:v>8602.313725490196</c:v>
                </c:pt>
                <c:pt idx="1">
                  <c:v>4683.25</c:v>
                </c:pt>
                <c:pt idx="2">
                  <c:v>5473.405405405405</c:v>
                </c:pt>
                <c:pt idx="3">
                  <c:v>2401.193422083007</c:v>
                </c:pt>
                <c:pt idx="4">
                  <c:v>2212.8360655737706</c:v>
                </c:pt>
                <c:pt idx="5">
                  <c:v>4993.434262948207</c:v>
                </c:pt>
                <c:pt idx="6">
                  <c:v>5693.04353931515</c:v>
                </c:pt>
              </c:numCache>
            </c:numRef>
          </c:val>
        </c:ser>
        <c:overlap val="100"/>
        <c:axId val="43828803"/>
        <c:axId val="58914908"/>
      </c:bar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auto val="1"/>
        <c:lblOffset val="100"/>
        <c:noMultiLvlLbl val="0"/>
      </c:catAx>
      <c:valAx>
        <c:axId val="58914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28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Arabia Saudí - Importaciones 2005 - Carne Vacuna Congelada - Parcial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(ARABIA!$A$4,ARABIA!$A$6:$A$9)</c:f>
              <c:strCache/>
            </c:strRef>
          </c:cat>
          <c:val>
            <c:numRef>
              <c:f>(ARABIA!$N$4,ARABIA!$N$6:$N$9)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Arabia Saudí - Importaciones 2005 - Carne Vacuna Congelada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(ARABIA!$A$28,ARABIA!$A$30:$A$33)</c:f>
              <c:strCache>
                <c:ptCount val="5"/>
                <c:pt idx="0">
                  <c:v>Estados Unidos</c:v>
                </c:pt>
                <c:pt idx="1">
                  <c:v>Brasil</c:v>
                </c:pt>
                <c:pt idx="2">
                  <c:v>Argentina</c:v>
                </c:pt>
                <c:pt idx="3">
                  <c:v>Australia</c:v>
                </c:pt>
                <c:pt idx="4">
                  <c:v>Nueva Zelanda</c:v>
                </c:pt>
              </c:strCache>
            </c:strRef>
          </c:cat>
          <c:val>
            <c:numRef>
              <c:f>(ARABIA!$N$28,ARABIA!$N$30:$N$33)</c:f>
              <c:numCache>
                <c:ptCount val="5"/>
                <c:pt idx="0">
                  <c:v>7513.484848484848</c:v>
                </c:pt>
                <c:pt idx="1">
                  <c:v>1858.2367154811716</c:v>
                </c:pt>
                <c:pt idx="2">
                  <c:v>1995.213</c:v>
                </c:pt>
                <c:pt idx="3">
                  <c:v>3720.4770459081838</c:v>
                </c:pt>
                <c:pt idx="4">
                  <c:v>3912.0555555555557</c:v>
                </c:pt>
              </c:numCache>
            </c:numRef>
          </c:val>
        </c:ser>
        <c:overlap val="100"/>
        <c:axId val="60472125"/>
        <c:axId val="7378214"/>
      </c:bar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78214"/>
        <c:crosses val="autoZero"/>
        <c:auto val="1"/>
        <c:lblOffset val="100"/>
        <c:noMultiLvlLbl val="0"/>
      </c:catAx>
      <c:valAx>
        <c:axId val="7378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72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Israel - Importaciones 2005 - Carne Vacuna Congelada - Parcial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ISRAEL!$A$5:$A$8</c:f>
              <c:strCache/>
            </c:strRef>
          </c:cat>
          <c:val>
            <c:numRef>
              <c:f>ISRAEL!$N$5:$N$8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Alemania - Importaciones 2005 - Carne Vacuna Congelada Deshuesada - Precio Promedio CIF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(ALEMANIA!$P$44:$P$49,ALEMANIA!$P$51:$P$54,ALEMANIA!$P$56:$P$57)</c:f>
              <c:strCache>
                <c:ptCount val="12"/>
                <c:pt idx="0">
                  <c:v>EU - 15</c:v>
                </c:pt>
                <c:pt idx="1">
                  <c:v>EU - 10 NMS</c:v>
                </c:pt>
                <c:pt idx="2">
                  <c:v>Otros Europa</c:v>
                </c:pt>
                <c:pt idx="3">
                  <c:v>Africa del Sur</c:v>
                </c:pt>
                <c:pt idx="4">
                  <c:v>Estados Unidos</c:v>
                </c:pt>
                <c:pt idx="5">
                  <c:v>Canadá</c:v>
                </c:pt>
                <c:pt idx="6">
                  <c:v>Brasil</c:v>
                </c:pt>
                <c:pt idx="7">
                  <c:v>Chile</c:v>
                </c:pt>
                <c:pt idx="8">
                  <c:v>Uruguay</c:v>
                </c:pt>
                <c:pt idx="9">
                  <c:v>Argentina</c:v>
                </c:pt>
                <c:pt idx="10">
                  <c:v>Nueva Zelanda</c:v>
                </c:pt>
                <c:pt idx="11">
                  <c:v>Otros - Irán</c:v>
                </c:pt>
              </c:strCache>
            </c:strRef>
          </c:cat>
          <c:val>
            <c:numRef>
              <c:f>(ALEMANIA!$AC$44:$AC$49,ALEMANIA!$AC$51:$AC$54,ALEMANIA!$AC$56:$AC$57)</c:f>
              <c:numCache>
                <c:ptCount val="12"/>
                <c:pt idx="0">
                  <c:v>3744.0835044490077</c:v>
                </c:pt>
                <c:pt idx="1">
                  <c:v>3260.9158653846152</c:v>
                </c:pt>
                <c:pt idx="2">
                  <c:v>2540.471153846154</c:v>
                </c:pt>
                <c:pt idx="3">
                  <c:v>3161.498058595129</c:v>
                </c:pt>
                <c:pt idx="4">
                  <c:v>12357.57142857143</c:v>
                </c:pt>
                <c:pt idx="5">
                  <c:v>3605</c:v>
                </c:pt>
                <c:pt idx="6">
                  <c:v>5166.026957637998</c:v>
                </c:pt>
                <c:pt idx="7">
                  <c:v>11556</c:v>
                </c:pt>
                <c:pt idx="8">
                  <c:v>4111.690035052578</c:v>
                </c:pt>
                <c:pt idx="9">
                  <c:v>3252.9536773669242</c:v>
                </c:pt>
                <c:pt idx="10">
                  <c:v>9372.838235294117</c:v>
                </c:pt>
                <c:pt idx="11">
                  <c:v>4663.978723404255</c:v>
                </c:pt>
              </c:numCache>
            </c:numRef>
          </c:val>
        </c:ser>
        <c:overlap val="100"/>
        <c:axId val="54499235"/>
        <c:axId val="20731068"/>
      </c:bar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auto val="1"/>
        <c:lblOffset val="100"/>
        <c:noMultiLvlLbl val="0"/>
      </c:catAx>
      <c:valAx>
        <c:axId val="20731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9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Israel - Importaciones 2005 - Carne Vacuna Congelada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ISRAEL!$A$29:$A$32</c:f>
              <c:strCache>
                <c:ptCount val="4"/>
                <c:pt idx="0">
                  <c:v>EU - 15</c:v>
                </c:pt>
                <c:pt idx="1">
                  <c:v>Brasil</c:v>
                </c:pt>
                <c:pt idx="2">
                  <c:v>Argentina</c:v>
                </c:pt>
                <c:pt idx="3">
                  <c:v>Australia</c:v>
                </c:pt>
              </c:strCache>
            </c:strRef>
          </c:cat>
          <c:val>
            <c:numRef>
              <c:f>ISRAEL!$N$29:$N$32</c:f>
              <c:numCache>
                <c:ptCount val="4"/>
                <c:pt idx="0">
                  <c:v>5204.63768115942</c:v>
                </c:pt>
                <c:pt idx="1">
                  <c:v>1831.2721270087877</c:v>
                </c:pt>
                <c:pt idx="2">
                  <c:v>2253.936697105711</c:v>
                </c:pt>
                <c:pt idx="3">
                  <c:v>2776.181818181818</c:v>
                </c:pt>
              </c:numCache>
            </c:numRef>
          </c:val>
        </c:ser>
        <c:overlap val="100"/>
        <c:axId val="66403927"/>
        <c:axId val="60764432"/>
      </c:bar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64432"/>
        <c:crosses val="autoZero"/>
        <c:auto val="1"/>
        <c:lblOffset val="100"/>
        <c:noMultiLvlLbl val="0"/>
      </c:catAx>
      <c:valAx>
        <c:axId val="60764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03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Malasia - Importaciones 2005 - Carne Vacuna Enfriada Deshuesada - Parcial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MALASIA!$A$8:$A$10</c:f>
              <c:strCache/>
            </c:strRef>
          </c:cat>
          <c:val>
            <c:numRef>
              <c:f>MALASIA!$N$8:$N$10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Malasia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MALASIA!$A$34:$A$36</c:f>
              <c:strCache/>
            </c:strRef>
          </c:cat>
          <c:val>
            <c:numRef>
              <c:f>MALASIA!$N$34:$N$36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0008977"/>
        <c:axId val="22971930"/>
      </c:bar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08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Malasia - Importaciones 2005 - Carne Vacuna Congelada Deshuesada - Parcial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MALASIA!$P$4:$P$10</c:f>
              <c:strCache/>
            </c:strRef>
          </c:cat>
          <c:val>
            <c:numRef>
              <c:f>MALASIA!$AC$4:$AC$10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Malasia - Importaciones 2005 - Carne Vacuna Congelada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MALASIA!$P$30:$P$36</c:f>
              <c:strCache>
                <c:ptCount val="7"/>
                <c:pt idx="0">
                  <c:v>Estados Unidos</c:v>
                </c:pt>
                <c:pt idx="1">
                  <c:v>Japón</c:v>
                </c:pt>
                <c:pt idx="2">
                  <c:v>EU - 15</c:v>
                </c:pt>
                <c:pt idx="3">
                  <c:v>Brasil</c:v>
                </c:pt>
                <c:pt idx="4">
                  <c:v>Argentina</c:v>
                </c:pt>
                <c:pt idx="5">
                  <c:v>Australia</c:v>
                </c:pt>
                <c:pt idx="6">
                  <c:v>Nueva Zelanda</c:v>
                </c:pt>
              </c:strCache>
            </c:strRef>
          </c:cat>
          <c:val>
            <c:numRef>
              <c:f>MALASIA!$AC$30:$AC$36</c:f>
              <c:numCache>
                <c:ptCount val="7"/>
                <c:pt idx="0">
                  <c:v>3780.5</c:v>
                </c:pt>
                <c:pt idx="2">
                  <c:v>1725.5</c:v>
                </c:pt>
                <c:pt idx="3">
                  <c:v>1860.776323119777</c:v>
                </c:pt>
                <c:pt idx="4">
                  <c:v>2767.6155143338956</c:v>
                </c:pt>
                <c:pt idx="5">
                  <c:v>1894.0646627053477</c:v>
                </c:pt>
                <c:pt idx="6">
                  <c:v>3753.959168793292</c:v>
                </c:pt>
              </c:numCache>
            </c:numRef>
          </c:val>
        </c:ser>
        <c:overlap val="100"/>
        <c:axId val="5420779"/>
        <c:axId val="48787012"/>
      </c:bar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87012"/>
        <c:crosses val="autoZero"/>
        <c:auto val="1"/>
        <c:lblOffset val="100"/>
        <c:noMultiLvlLbl val="0"/>
      </c:catAx>
      <c:valAx>
        <c:axId val="4878701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Hong Kong - Importaciones 2005 -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'HONG KONG'!$A$4:$A$11</c:f>
              <c:strCache/>
            </c:strRef>
          </c:cat>
          <c:val>
            <c:numRef>
              <c:f>'HONG KONG'!$N$4:$N$11</c:f>
              <c:numCache>
                <c:ptCount val="8"/>
                <c:pt idx="0">
                  <c:v>33</c:v>
                </c:pt>
                <c:pt idx="1">
                  <c:v>2.047964165260358</c:v>
                </c:pt>
                <c:pt idx="2">
                  <c:v>330</c:v>
                </c:pt>
                <c:pt idx="3">
                  <c:v>3</c:v>
                </c:pt>
                <c:pt idx="4">
                  <c:v>161.0119809046164</c:v>
                </c:pt>
                <c:pt idx="5">
                  <c:v>348</c:v>
                </c:pt>
                <c:pt idx="6">
                  <c:v>1449</c:v>
                </c:pt>
                <c:pt idx="7">
                  <c:v>683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Hong Kong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'HONG KONG'!$A$34:$A$41</c:f>
              <c:strCache>
                <c:ptCount val="8"/>
                <c:pt idx="0">
                  <c:v>EU - 15</c:v>
                </c:pt>
                <c:pt idx="1">
                  <c:v>África del Sur</c:v>
                </c:pt>
                <c:pt idx="2">
                  <c:v>Canadá</c:v>
                </c:pt>
                <c:pt idx="3">
                  <c:v>Estados Unidos</c:v>
                </c:pt>
                <c:pt idx="4">
                  <c:v>Brasil</c:v>
                </c:pt>
                <c:pt idx="5">
                  <c:v>Argentina</c:v>
                </c:pt>
                <c:pt idx="6">
                  <c:v>Australia</c:v>
                </c:pt>
                <c:pt idx="7">
                  <c:v>Nueva Zelanda</c:v>
                </c:pt>
              </c:strCache>
            </c:strRef>
          </c:cat>
          <c:val>
            <c:numRef>
              <c:f>'HONG KONG'!$N$34:$N$41</c:f>
              <c:numCache>
                <c:ptCount val="8"/>
                <c:pt idx="0">
                  <c:v>12297.757575757576</c:v>
                </c:pt>
                <c:pt idx="1">
                  <c:v>12297.757575757576</c:v>
                </c:pt>
                <c:pt idx="2">
                  <c:v>15145.063636363637</c:v>
                </c:pt>
                <c:pt idx="3">
                  <c:v>15128</c:v>
                </c:pt>
                <c:pt idx="4">
                  <c:v>12297.757575757576</c:v>
                </c:pt>
                <c:pt idx="5">
                  <c:v>3359.7040229885056</c:v>
                </c:pt>
                <c:pt idx="6">
                  <c:v>12168.190476190477</c:v>
                </c:pt>
                <c:pt idx="7">
                  <c:v>8073.187408491947</c:v>
                </c:pt>
              </c:numCache>
            </c:numRef>
          </c:val>
        </c:ser>
        <c:overlap val="100"/>
        <c:axId val="36429925"/>
        <c:axId val="59433870"/>
      </c:bar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auto val="1"/>
        <c:lblOffset val="100"/>
        <c:noMultiLvlLbl val="0"/>
      </c:catAx>
      <c:valAx>
        <c:axId val="5943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Hong Kong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'HONG KONG'!$P$4:$P$11</c:f>
              <c:strCache/>
            </c:strRef>
          </c:cat>
          <c:val>
            <c:numRef>
              <c:f>'HONG KONG'!$AC$4:$AC$11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Hong Kong - Importaciones 2005 - Menudencias y Vísceras Vacunas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'HONG KONG'!$AE$4:$AE$12</c:f>
              <c:strCache/>
            </c:strRef>
          </c:cat>
          <c:val>
            <c:numRef>
              <c:f>'HONG KONG'!$AR$4:$AR$12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Hong Kong - Importaciones 2005 - Carne Vacuna Congelada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'HONG KONG'!$P$34:$P$41</c:f>
              <c:strCache>
                <c:ptCount val="8"/>
                <c:pt idx="0">
                  <c:v>EU - 15</c:v>
                </c:pt>
                <c:pt idx="1">
                  <c:v>China</c:v>
                </c:pt>
                <c:pt idx="2">
                  <c:v>Canadá</c:v>
                </c:pt>
                <c:pt idx="3">
                  <c:v>Brasil</c:v>
                </c:pt>
                <c:pt idx="4">
                  <c:v>Uruguay</c:v>
                </c:pt>
                <c:pt idx="5">
                  <c:v>Argentina</c:v>
                </c:pt>
                <c:pt idx="6">
                  <c:v>Australia</c:v>
                </c:pt>
                <c:pt idx="7">
                  <c:v>Nueva Zelanda</c:v>
                </c:pt>
              </c:strCache>
            </c:strRef>
          </c:cat>
          <c:val>
            <c:numRef>
              <c:f>'HONG KONG'!$AC$34:$AC$41</c:f>
              <c:numCache>
                <c:ptCount val="8"/>
                <c:pt idx="1">
                  <c:v>1736.0095801937566</c:v>
                </c:pt>
                <c:pt idx="2">
                  <c:v>3607.210598333126</c:v>
                </c:pt>
                <c:pt idx="3">
                  <c:v>1378.1172157591163</c:v>
                </c:pt>
                <c:pt idx="5">
                  <c:v>1791.1818181818182</c:v>
                </c:pt>
                <c:pt idx="6">
                  <c:v>3529.406336088154</c:v>
                </c:pt>
                <c:pt idx="7">
                  <c:v>5501.576952822892</c:v>
                </c:pt>
              </c:numCache>
            </c:numRef>
          </c:val>
        </c:ser>
        <c:overlap val="100"/>
        <c:axId val="65142783"/>
        <c:axId val="49414136"/>
      </c:bar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14136"/>
        <c:crosses val="autoZero"/>
        <c:auto val="1"/>
        <c:lblOffset val="100"/>
        <c:noMultiLvlLbl val="0"/>
      </c:catAx>
      <c:valAx>
        <c:axId val="49414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42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Italia - Importaciones 2005 - Carne Vacuna Refrigerada Deshuesada - Toneladas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(ITALIA!$A$4:$A$5,ITALIA!$A$11,ITALIA!$A$13:$A$14,ITALIA!$A$15)</c:f>
              <c:strCache/>
            </c:strRef>
          </c:cat>
          <c:val>
            <c:numRef>
              <c:f>(ITALIA!$N$4:$N$5,ITALIA!$N$11,ITALIA!$N$13:$N$15)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Hong Kong - Importaciones 2005 - Menudencias y Vísceras Vacunas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'HONG KONG'!$AE$34:$AE$42</c:f>
              <c:strCache>
                <c:ptCount val="9"/>
                <c:pt idx="0">
                  <c:v>EU - 15</c:v>
                </c:pt>
                <c:pt idx="1">
                  <c:v>China</c:v>
                </c:pt>
                <c:pt idx="2">
                  <c:v>NAFTA</c:v>
                </c:pt>
                <c:pt idx="3">
                  <c:v>Brasil</c:v>
                </c:pt>
                <c:pt idx="4">
                  <c:v>Uruguay</c:v>
                </c:pt>
                <c:pt idx="5">
                  <c:v>Argentina</c:v>
                </c:pt>
                <c:pt idx="6">
                  <c:v>Australia</c:v>
                </c:pt>
                <c:pt idx="7">
                  <c:v>Nueva Zelanda</c:v>
                </c:pt>
                <c:pt idx="8">
                  <c:v>Otros</c:v>
                </c:pt>
              </c:strCache>
            </c:strRef>
          </c:cat>
          <c:val>
            <c:numRef>
              <c:f>'HONG KONG'!$AR$34:$AR$42</c:f>
              <c:numCache>
                <c:ptCount val="9"/>
                <c:pt idx="0">
                  <c:v>1014.7608370702541</c:v>
                </c:pt>
                <c:pt idx="1">
                  <c:v>1366.358851674641</c:v>
                </c:pt>
                <c:pt idx="2">
                  <c:v>1036.518821603928</c:v>
                </c:pt>
                <c:pt idx="3">
                  <c:v>1190.6362537057264</c:v>
                </c:pt>
                <c:pt idx="4">
                  <c:v>1403.821858354705</c:v>
                </c:pt>
                <c:pt idx="5">
                  <c:v>1018.1123068644785</c:v>
                </c:pt>
                <c:pt idx="6">
                  <c:v>1018.1820942408377</c:v>
                </c:pt>
                <c:pt idx="7">
                  <c:v>989.3115991763898</c:v>
                </c:pt>
                <c:pt idx="8">
                  <c:v>467.29984051036683</c:v>
                </c:pt>
              </c:numCache>
            </c:numRef>
          </c:val>
        </c:ser>
        <c:overlap val="100"/>
        <c:axId val="42074041"/>
        <c:axId val="43122050"/>
      </c:bar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74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China - Importaciones 2005 -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CHINA!$A$4:$A$6</c:f>
              <c:strCache/>
            </c:strRef>
          </c:cat>
          <c:val>
            <c:numRef>
              <c:f>CHINA!$N$4:$N$6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China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CHINA!$A$24:$A$26</c:f>
              <c:strCache>
                <c:ptCount val="3"/>
                <c:pt idx="0">
                  <c:v>Uruguay</c:v>
                </c:pt>
                <c:pt idx="1">
                  <c:v>Australia</c:v>
                </c:pt>
                <c:pt idx="2">
                  <c:v>Nueva Zelanda</c:v>
                </c:pt>
              </c:strCache>
            </c:strRef>
          </c:cat>
          <c:val>
            <c:numRef>
              <c:f>CHINA!$N$24:$N$26</c:f>
              <c:numCache>
                <c:ptCount val="3"/>
                <c:pt idx="0">
                  <c:v>7907</c:v>
                </c:pt>
                <c:pt idx="1">
                  <c:v>12828.907407407407</c:v>
                </c:pt>
              </c:numCache>
            </c:numRef>
          </c:val>
        </c:ser>
        <c:overlap val="100"/>
        <c:axId val="52554131"/>
        <c:axId val="3225132"/>
      </c:bar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54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China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CHINA!$P$4:$P$6</c:f>
              <c:strCache/>
            </c:strRef>
          </c:cat>
          <c:val>
            <c:numRef>
              <c:f>CHINA!$AC$4:$AC$6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China - Importaciones 2005 - Carne Vacuna Congelada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CHINA!$P$24:$P$26</c:f>
              <c:strCache>
                <c:ptCount val="3"/>
                <c:pt idx="0">
                  <c:v>Uruguay</c:v>
                </c:pt>
                <c:pt idx="1">
                  <c:v>Australia</c:v>
                </c:pt>
                <c:pt idx="2">
                  <c:v>Nueva Zelanda</c:v>
                </c:pt>
              </c:strCache>
            </c:strRef>
          </c:cat>
          <c:val>
            <c:numRef>
              <c:f>CHINA!$AC$24:$AC$26</c:f>
              <c:numCache>
                <c:ptCount val="3"/>
                <c:pt idx="0">
                  <c:v>7891.636363636364</c:v>
                </c:pt>
                <c:pt idx="1">
                  <c:v>6021.8687116564415</c:v>
                </c:pt>
                <c:pt idx="2">
                  <c:v>1044.3</c:v>
                </c:pt>
              </c:numCache>
            </c:numRef>
          </c:val>
        </c:ser>
        <c:overlap val="100"/>
        <c:axId val="29026189"/>
        <c:axId val="59909110"/>
      </c:bar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26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Taiwán - Importaciones 2005 -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(TAIWAN!$A$5,TAIWAN!$A$8:$A$9)</c:f>
              <c:strCache/>
            </c:strRef>
          </c:cat>
          <c:val>
            <c:numRef>
              <c:f>(TAIWAN!$N$5,TAIWAN!$N$8:$N$9)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Taiwán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(TAIWAN!$A$30:$A$31,TAIWAN!$A$34:$A$35)</c:f>
              <c:strCache>
                <c:ptCount val="4"/>
                <c:pt idx="0">
                  <c:v>Ucrania</c:v>
                </c:pt>
                <c:pt idx="1">
                  <c:v>Estados Unidos</c:v>
                </c:pt>
                <c:pt idx="2">
                  <c:v>Australia</c:v>
                </c:pt>
                <c:pt idx="3">
                  <c:v>Nueva Zelanda</c:v>
                </c:pt>
              </c:strCache>
            </c:strRef>
          </c:cat>
          <c:val>
            <c:numRef>
              <c:f>(TAIWAN!$N$30:$N$31,TAIWAN!$N$34:$N$35)</c:f>
              <c:numCache>
                <c:ptCount val="4"/>
                <c:pt idx="1">
                  <c:v>6446.547891566265</c:v>
                </c:pt>
                <c:pt idx="2">
                  <c:v>7594.874088291746</c:v>
                </c:pt>
                <c:pt idx="3">
                  <c:v>6203.533212833258</c:v>
                </c:pt>
              </c:numCache>
            </c:numRef>
          </c:val>
        </c:ser>
        <c:overlap val="100"/>
        <c:axId val="2311079"/>
        <c:axId val="20799712"/>
      </c:bar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Taiwán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(TAIWAN!$P$5:$P$6,TAIWAN!$P$8:$P$9)</c:f>
              <c:strCache/>
            </c:strRef>
          </c:cat>
          <c:val>
            <c:numRef>
              <c:f>(TAIWAN!$AC$5:$AC$6,TAIWAN!$AC$8:$AC$9)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Taiwán - Importaciones 2005 - Carne Vacuna Congelada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TAIWAN!$P$31:$P$35</c:f>
              <c:strCache>
                <c:ptCount val="5"/>
                <c:pt idx="0">
                  <c:v>Estados Unidos</c:v>
                </c:pt>
                <c:pt idx="1">
                  <c:v>Centroamérica y Caribe</c:v>
                </c:pt>
                <c:pt idx="2">
                  <c:v>Japón</c:v>
                </c:pt>
                <c:pt idx="3">
                  <c:v>Australia</c:v>
                </c:pt>
                <c:pt idx="4">
                  <c:v>Nueva Zelanda</c:v>
                </c:pt>
              </c:strCache>
            </c:strRef>
          </c:cat>
          <c:val>
            <c:numRef>
              <c:f>TAIWAN!$AC$31:$AC$35</c:f>
              <c:numCache>
                <c:ptCount val="5"/>
                <c:pt idx="0">
                  <c:v>5465.1564718717445</c:v>
                </c:pt>
                <c:pt idx="1">
                  <c:v>2980.462414578588</c:v>
                </c:pt>
                <c:pt idx="2">
                  <c:v>9380.876</c:v>
                </c:pt>
                <c:pt idx="3">
                  <c:v>3516.526275615055</c:v>
                </c:pt>
                <c:pt idx="4">
                  <c:v>3770.967685911268</c:v>
                </c:pt>
              </c:numCache>
            </c:numRef>
          </c:val>
        </c:ser>
        <c:overlap val="100"/>
        <c:axId val="52979681"/>
        <c:axId val="7055082"/>
      </c:bar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55082"/>
        <c:crosses val="autoZero"/>
        <c:auto val="1"/>
        <c:lblOffset val="100"/>
        <c:noMultiLvlLbl val="0"/>
      </c:catAx>
      <c:valAx>
        <c:axId val="7055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79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Corea del Sur - Importaciones 2005 -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'COREA S.'!$A$7:$A$10</c:f>
              <c:strCache/>
            </c:strRef>
          </c:cat>
          <c:val>
            <c:numRef>
              <c:f>'COREA S.'!$N$7:$N$10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Italia - Importaciones 2005 - Carne Vacuna Refrigerada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(ITALIA!$A$44:$A$45,ITALIA!$A$51,ITALIA!$A$53:$A$56)</c:f>
              <c:strCache>
                <c:ptCount val="7"/>
                <c:pt idx="0">
                  <c:v>EU - 15</c:v>
                </c:pt>
                <c:pt idx="1">
                  <c:v>EU - 10 NMS</c:v>
                </c:pt>
                <c:pt idx="2">
                  <c:v>Brasil</c:v>
                </c:pt>
                <c:pt idx="3">
                  <c:v>Uruguay</c:v>
                </c:pt>
                <c:pt idx="4">
                  <c:v>Argentina</c:v>
                </c:pt>
                <c:pt idx="5">
                  <c:v>Australia</c:v>
                </c:pt>
                <c:pt idx="6">
                  <c:v>Nueva Zelanda</c:v>
                </c:pt>
              </c:strCache>
            </c:strRef>
          </c:cat>
          <c:val>
            <c:numRef>
              <c:f>(ITALIA!$N$44:$N$45,ITALIA!$N$51,ITALIA!$N$53:$N$56)</c:f>
              <c:numCache>
                <c:ptCount val="7"/>
                <c:pt idx="0">
                  <c:v>7356.4187259183145</c:v>
                </c:pt>
                <c:pt idx="1">
                  <c:v>4237.866197183099</c:v>
                </c:pt>
                <c:pt idx="2">
                  <c:v>5023.583785931912</c:v>
                </c:pt>
                <c:pt idx="3">
                  <c:v>7058.10989010989</c:v>
                </c:pt>
                <c:pt idx="4">
                  <c:v>6869.017081612147</c:v>
                </c:pt>
                <c:pt idx="5">
                  <c:v>4094.153846153846</c:v>
                </c:pt>
              </c:numCache>
            </c:numRef>
          </c:val>
        </c:ser>
        <c:overlap val="100"/>
        <c:axId val="52361885"/>
        <c:axId val="1494918"/>
      </c:bar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94918"/>
        <c:crosses val="autoZero"/>
        <c:auto val="1"/>
        <c:lblOffset val="100"/>
        <c:noMultiLvlLbl val="0"/>
      </c:catAx>
      <c:valAx>
        <c:axId val="1494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361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Corea del Sur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'COREA S.'!$A$33:$A$36</c:f>
              <c:strCache>
                <c:ptCount val="4"/>
                <c:pt idx="0">
                  <c:v>Canadá</c:v>
                </c:pt>
                <c:pt idx="1">
                  <c:v>México</c:v>
                </c:pt>
                <c:pt idx="2">
                  <c:v>Australia</c:v>
                </c:pt>
                <c:pt idx="3">
                  <c:v>Nueva Zelanda</c:v>
                </c:pt>
              </c:strCache>
            </c:strRef>
          </c:cat>
          <c:val>
            <c:numRef>
              <c:f>'COREA S.'!$N$33:$N$36</c:f>
              <c:numCache>
                <c:ptCount val="4"/>
                <c:pt idx="0">
                  <c:v>5988.909090909091</c:v>
                </c:pt>
                <c:pt idx="1">
                  <c:v>6232.470588235294</c:v>
                </c:pt>
                <c:pt idx="2">
                  <c:v>6842.537169431526</c:v>
                </c:pt>
                <c:pt idx="3">
                  <c:v>5637.576612903225</c:v>
                </c:pt>
              </c:numCache>
            </c:numRef>
          </c:val>
        </c:ser>
        <c:overlap val="100"/>
        <c:axId val="63495739"/>
        <c:axId val="34590740"/>
      </c:bar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95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Corea del Sur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'COREA S.'!$P$4:$P$10</c:f>
              <c:strCache/>
            </c:strRef>
          </c:cat>
          <c:val>
            <c:numRef>
              <c:f>'COREA S.'!$AC$4:$AC$10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Corea del Sur - Importaciones 2005 - Carne Vacuna Congelada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'COREA S.'!$P$30:$P$36</c:f>
              <c:strCache>
                <c:ptCount val="7"/>
                <c:pt idx="0">
                  <c:v>EU -15</c:v>
                </c:pt>
                <c:pt idx="1">
                  <c:v>África del Sur</c:v>
                </c:pt>
                <c:pt idx="2">
                  <c:v>Estados Unidos</c:v>
                </c:pt>
                <c:pt idx="3">
                  <c:v>Canadá</c:v>
                </c:pt>
                <c:pt idx="4">
                  <c:v>México</c:v>
                </c:pt>
                <c:pt idx="5">
                  <c:v>Australia</c:v>
                </c:pt>
                <c:pt idx="6">
                  <c:v>Nueva Zelanda</c:v>
                </c:pt>
              </c:strCache>
            </c:strRef>
          </c:cat>
          <c:val>
            <c:numRef>
              <c:f>'COREA S.'!$AC$30:$AC$36</c:f>
              <c:numCache>
                <c:ptCount val="7"/>
                <c:pt idx="0">
                  <c:v>2739.8618421052633</c:v>
                </c:pt>
                <c:pt idx="1">
                  <c:v>4135.666666666667</c:v>
                </c:pt>
                <c:pt idx="2">
                  <c:v>3436.125</c:v>
                </c:pt>
                <c:pt idx="3">
                  <c:v>7507</c:v>
                </c:pt>
                <c:pt idx="4">
                  <c:v>5259.460481099656</c:v>
                </c:pt>
                <c:pt idx="5">
                  <c:v>3694.909531318583</c:v>
                </c:pt>
                <c:pt idx="6">
                  <c:v>3426.0596806696635</c:v>
                </c:pt>
              </c:numCache>
            </c:numRef>
          </c:val>
        </c:ser>
        <c:overlap val="100"/>
        <c:axId val="42881205"/>
        <c:axId val="50386526"/>
      </c:bar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Japón - Importaciones 2005 -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(JAPÓN!$A$5,JAPÓN!$A$8:$A$10)</c:f>
              <c:strCache/>
            </c:strRef>
          </c:cat>
          <c:val>
            <c:numRef>
              <c:f>(JAPÓN!$N$5,JAPÓN!$N$8:$N$10)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Japón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(JAPÓN!$A$31,JAPÓN!$A$34:$A$36)</c:f>
              <c:strCache/>
            </c:strRef>
          </c:cat>
          <c:val>
            <c:numRef>
              <c:f>(JAPÓN!$N$31,JAPÓN!$N$34:$N$36)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0825551"/>
        <c:axId val="54776776"/>
      </c:bar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Japón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(JAPÓN!$P$4:$P$5,JAPÓN!$P$7:$P$10)</c:f>
              <c:strCache/>
            </c:strRef>
          </c:cat>
          <c:val>
            <c:numRef>
              <c:f>(JAPÓN!$AC$4:$AC$5,JAPÓN!$AC$7:$AC$10)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Japón - Importaciones 2005 - Carne Vacuna Congelada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(JAPÓN!$P$30:$P$31,JAPÓN!$P$33:$P$36)</c:f>
              <c:strCache>
                <c:ptCount val="6"/>
                <c:pt idx="0">
                  <c:v>Centroamérica y Caribe</c:v>
                </c:pt>
                <c:pt idx="1">
                  <c:v>Chile</c:v>
                </c:pt>
                <c:pt idx="2">
                  <c:v>Vanuatu</c:v>
                </c:pt>
                <c:pt idx="3">
                  <c:v>México</c:v>
                </c:pt>
                <c:pt idx="4">
                  <c:v>Australia</c:v>
                </c:pt>
                <c:pt idx="5">
                  <c:v>Nueva Zelanda</c:v>
                </c:pt>
              </c:strCache>
            </c:strRef>
          </c:cat>
          <c:val>
            <c:numRef>
              <c:f>(JAPÓN!$AC$30:$AC$31,JAPÓN!$AC$33:$AC$36)</c:f>
              <c:numCache>
                <c:ptCount val="6"/>
                <c:pt idx="0">
                  <c:v>3247.159159159159</c:v>
                </c:pt>
                <c:pt idx="1">
                  <c:v>3847.689704823614</c:v>
                </c:pt>
                <c:pt idx="2">
                  <c:v>2868.67476635514</c:v>
                </c:pt>
                <c:pt idx="3">
                  <c:v>6024.080487804878</c:v>
                </c:pt>
                <c:pt idx="4">
                  <c:v>2821.9479714999734</c:v>
                </c:pt>
                <c:pt idx="5">
                  <c:v>3330.0108984339226</c:v>
                </c:pt>
              </c:numCache>
            </c:numRef>
          </c:val>
        </c:ser>
        <c:overlap val="100"/>
        <c:axId val="23228937"/>
        <c:axId val="7733842"/>
      </c:bar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Sudáfrica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(SUDÁFRICA!$A$4,SUDÁFRICA!$A$6:$A$12)</c:f>
              <c:strCache/>
            </c:strRef>
          </c:cat>
          <c:val>
            <c:numRef>
              <c:f>(SUDÁFRICA!$N$4,SUDÁFRICA!$N$6:$N$12)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Sudáfrica - Importaciones 2005 - Carne Vacuna Congelada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(SUDÁFRICA!$A$34,SUDÁFRICA!$A$36:$A$42)</c:f>
              <c:strCache>
                <c:ptCount val="8"/>
                <c:pt idx="0">
                  <c:v>EU - 15</c:v>
                </c:pt>
                <c:pt idx="1">
                  <c:v>Canadá</c:v>
                </c:pt>
                <c:pt idx="2">
                  <c:v>Brasil </c:v>
                </c:pt>
                <c:pt idx="3">
                  <c:v>Paraguay</c:v>
                </c:pt>
                <c:pt idx="4">
                  <c:v>Uruguay</c:v>
                </c:pt>
                <c:pt idx="5">
                  <c:v>Argentina</c:v>
                </c:pt>
                <c:pt idx="6">
                  <c:v>India</c:v>
                </c:pt>
                <c:pt idx="7">
                  <c:v>Nueva Zelanda</c:v>
                </c:pt>
              </c:strCache>
            </c:strRef>
          </c:cat>
          <c:val>
            <c:numRef>
              <c:f>(SUDÁFRICA!$N$34,SUDÁFRICA!$N$36:$N$42)</c:f>
              <c:numCache>
                <c:ptCount val="8"/>
                <c:pt idx="0">
                  <c:v>1170.65</c:v>
                </c:pt>
                <c:pt idx="1">
                  <c:v>1432.0434782608695</c:v>
                </c:pt>
                <c:pt idx="2">
                  <c:v>1430.9516265314744</c:v>
                </c:pt>
                <c:pt idx="3">
                  <c:v>1964.3904028436018</c:v>
                </c:pt>
                <c:pt idx="4">
                  <c:v>1521.4483897605285</c:v>
                </c:pt>
                <c:pt idx="5">
                  <c:v>1550.3186114985278</c:v>
                </c:pt>
                <c:pt idx="6">
                  <c:v>1047.0384615384614</c:v>
                </c:pt>
                <c:pt idx="7">
                  <c:v>1170.0246305418718</c:v>
                </c:pt>
              </c:numCache>
            </c:numRef>
          </c:val>
        </c:ser>
        <c:overlap val="100"/>
        <c:axId val="2495715"/>
        <c:axId val="22461436"/>
      </c:bar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Estados Unidos - Importaciones 2005 -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('EE.UU.'!$A$6:$A$8,'EE.UU.'!$A$10,'EE.UU.'!$A$12:$A$13)</c:f>
              <c:strCache/>
            </c:strRef>
          </c:cat>
          <c:val>
            <c:numRef>
              <c:f>('EE.UU.'!$N$6:$N$8,'EE.UU.'!$N$10,'EE.UU.'!$N$12:$N$13)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Italia - Importaciones 2005 - Carne Vacuna Congelada Deshuesada - Precio Promedio CIF en U$S/TN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(ITALIA!$P$44:$P$45,ITALIA!$P$47,ITALIA!$P$51,ITALIA!$P$53:$P$54,ITALIA!$P$56)</c:f>
              <c:strCache>
                <c:ptCount val="7"/>
                <c:pt idx="0">
                  <c:v>EU - 15</c:v>
                </c:pt>
                <c:pt idx="1">
                  <c:v>EU - 10 NMS</c:v>
                </c:pt>
                <c:pt idx="2">
                  <c:v>Africa del Sur</c:v>
                </c:pt>
                <c:pt idx="3">
                  <c:v>Brasil</c:v>
                </c:pt>
                <c:pt idx="4">
                  <c:v>Uruguay</c:v>
                </c:pt>
                <c:pt idx="5">
                  <c:v>Argentina</c:v>
                </c:pt>
                <c:pt idx="6">
                  <c:v>Nueva Zelanda</c:v>
                </c:pt>
              </c:strCache>
            </c:strRef>
          </c:cat>
          <c:val>
            <c:numRef>
              <c:f>(ITALIA!$AC$44:$AC$45,ITALIA!$AC$47,ITALIA!$AC$51,ITALIA!$AC$53:$AC$54,ITALIA!$AC$56)</c:f>
              <c:numCache>
                <c:ptCount val="7"/>
                <c:pt idx="0">
                  <c:v>5782.774804253827</c:v>
                </c:pt>
                <c:pt idx="1">
                  <c:v>3844.623</c:v>
                </c:pt>
                <c:pt idx="2">
                  <c:v>3147.744</c:v>
                </c:pt>
                <c:pt idx="3">
                  <c:v>3084.8028712976775</c:v>
                </c:pt>
                <c:pt idx="4">
                  <c:v>2658.48</c:v>
                </c:pt>
                <c:pt idx="5">
                  <c:v>2782.685</c:v>
                </c:pt>
                <c:pt idx="6">
                  <c:v>11959.418</c:v>
                </c:pt>
              </c:numCache>
            </c:numRef>
          </c:val>
        </c:ser>
        <c:overlap val="100"/>
        <c:axId val="13454263"/>
        <c:axId val="53979504"/>
      </c:bar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454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Estados Unidos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('EE.UU.'!$A$40:$A$42,'EE.UU.'!$A$44,'EE.UU.'!$A$46:$A$47)</c:f>
              <c:strCache/>
            </c:strRef>
          </c:cat>
          <c:val>
            <c:numRef>
              <c:f>('EE.UU.'!$N$40:$N$42,'EE.UU.'!$N$44,'EE.UU.'!$N$46:$N$47)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826333"/>
        <c:axId val="7436998"/>
      </c:bar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436998"/>
        <c:crosses val="autoZero"/>
        <c:auto val="1"/>
        <c:lblOffset val="100"/>
        <c:noMultiLvlLbl val="0"/>
      </c:catAx>
      <c:valAx>
        <c:axId val="7436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Estados Unidos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('EE.UU.'!$P$6:$P$8,'EE.UU.'!$P$10,'EE.UU.'!$P$12:$P$13)</c:f>
              <c:strCache/>
            </c:strRef>
          </c:cat>
          <c:val>
            <c:numRef>
              <c:f>('EE.UU.'!$AC$6:$AC$8,'EE.UU.'!$AC$10,'EE.UU.'!$AC$12:$AC$13)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Estados Unidos - Importaciones 2005 - Carne Vacuna Procesada/Industrializada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'EE.UU.'!$AE$4:$AE$14</c:f>
              <c:strCache/>
            </c:strRef>
          </c:cat>
          <c:val>
            <c:numRef>
              <c:f>'EE.UU.'!$AR$4:$AR$14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Estados Unidos - Importaciones 2005 - Carne Vacuna Congelada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('EE.UU.'!$P$40:$P$42,'EE.UU.'!$P$44,'EE.UU.'!$P$46:$P$47)</c:f>
              <c:strCache/>
            </c:strRef>
          </c:cat>
          <c:val>
            <c:numRef>
              <c:f>('EE.UU.'!$AC$40:$AC$42,'EE.UU.'!$AC$44,'EE.UU.'!$AC$46:$AC$47)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6932983"/>
        <c:axId val="65525936"/>
      </c:bar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auto val="1"/>
        <c:lblOffset val="100"/>
        <c:noMultiLvlLbl val="0"/>
      </c:catAx>
      <c:valAx>
        <c:axId val="65525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32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Estados Unidos - Importaciones 2005 - Carne Vacuna Procesada/Industrializada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'EE.UU.'!$AE$38:$AE$48</c:f>
              <c:strCache/>
            </c:strRef>
          </c:cat>
          <c:val>
            <c:numRef>
              <c:f>'EE.UU.'!$AR$38:$AR$48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2862513"/>
        <c:axId val="6000570"/>
      </c:bar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 val="autoZero"/>
        <c:auto val="1"/>
        <c:lblOffset val="100"/>
        <c:noMultiLvlLbl val="0"/>
      </c:catAx>
      <c:valAx>
        <c:axId val="6000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62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México - Importaciones 2005 - Carne Vacuna Enfriada sin Hueso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Estados Unidos
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MÉXICO!$A$6:$A$7</c:f>
              <c:strCache/>
            </c:strRef>
          </c:cat>
          <c:val>
            <c:numRef>
              <c:f>MÉXICO!$N$6:$N$7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México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MÉXICO!$A$30:$A$33</c:f>
              <c:strCache/>
            </c:strRef>
          </c:cat>
          <c:val>
            <c:numRef>
              <c:f>MÉXICO!$N$30:$N$33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4005131"/>
        <c:axId val="16284132"/>
      </c:bar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1"/>
        <c:lblOffset val="100"/>
        <c:noMultiLvlLbl val="0"/>
      </c:catAx>
      <c:valAx>
        <c:axId val="16284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México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MÉXICO!$P$29:$P$33</c:f>
              <c:strCache/>
            </c:strRef>
          </c:cat>
          <c:val>
            <c:numRef>
              <c:f>MÉXICO!$AC$29:$AC$33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2339461"/>
        <c:axId val="43946286"/>
      </c:bar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auto val="1"/>
        <c:lblOffset val="100"/>
        <c:noMultiLvlLbl val="0"/>
      </c:catAx>
      <c:valAx>
        <c:axId val="43946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México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MÉXICO!$P$5:$P$9</c:f>
              <c:strCache/>
            </c:strRef>
          </c:cat>
          <c:val>
            <c:numRef>
              <c:f>MÉXICO!$AC$5:$AC$9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Venezuela -Importaciones 2005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VENEZUELA!$A$5:$A$6</c:f>
              <c:strCache/>
            </c:strRef>
          </c:cat>
          <c:val>
            <c:numRef>
              <c:f>VENEZUELA!$N$5:$N$6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Italia - Importaciones 2005 - Carne Vacuna Congelada Deshuesada - Precio CIF en U$S/TN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(ITALIA!$P$4:$P$5,ITALIA!$P$7,ITALIA!$P$11,ITALIA!$P$13:$P$14,ITALIA!$P$16)</c:f>
              <c:strCache/>
            </c:strRef>
          </c:cat>
          <c:val>
            <c:numRef>
              <c:f>(ITALIA!$AC$4:$AC$5,ITALIA!$AC$7,ITALIA!$AC$11,ITALIA!$AC$13:$AC$14,ITALIA!$AC$16)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Venezuela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VENEZUELA!$A$23:$A$24</c:f>
              <c:strCache>
                <c:ptCount val="2"/>
                <c:pt idx="0">
                  <c:v>BRASIL</c:v>
                </c:pt>
                <c:pt idx="1">
                  <c:v>ARGENTINA</c:v>
                </c:pt>
              </c:strCache>
            </c:strRef>
          </c:cat>
          <c:val>
            <c:numRef>
              <c:f>VENEZUELA!$N$23:$N$24</c:f>
              <c:numCache>
                <c:ptCount val="2"/>
                <c:pt idx="0">
                  <c:v>2020.6248415716095</c:v>
                </c:pt>
                <c:pt idx="1">
                  <c:v>2387.0558346213293</c:v>
                </c:pt>
              </c:numCache>
            </c:numRef>
          </c:val>
        </c:ser>
        <c:overlap val="100"/>
        <c:gapWidth val="450"/>
        <c:axId val="59972255"/>
        <c:axId val="2879384"/>
      </c:bar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 val="autoZero"/>
        <c:auto val="1"/>
        <c:lblOffset val="100"/>
        <c:noMultiLvlLbl val="0"/>
      </c:catAx>
      <c:valAx>
        <c:axId val="2879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Venezuela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VENEZUELA!$P$4:$P$6</c:f>
              <c:strCache/>
            </c:strRef>
          </c:cat>
          <c:val>
            <c:numRef>
              <c:f>VENEZUELA!$AC$4:$AC$6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Venezuela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VENEZUELA!$P$22:$P$24</c:f>
              <c:strCache/>
            </c:strRef>
          </c:cat>
          <c:val>
            <c:numRef>
              <c:f>VENEZUELA!$AC$22:$AC$24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310"/>
        <c:axId val="25914457"/>
        <c:axId val="31903522"/>
      </c:bar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903522"/>
        <c:crosses val="autoZero"/>
        <c:auto val="1"/>
        <c:lblOffset val="100"/>
        <c:noMultiLvlLbl val="0"/>
      </c:catAx>
      <c:valAx>
        <c:axId val="31903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Chile - Importaciones 2005 - Carne Vacuna Enfriada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CHILE!$A$4:$A$7</c:f>
              <c:strCache/>
            </c:strRef>
          </c:cat>
          <c:val>
            <c:numRef>
              <c:f>CHILE!$N$4:$N$7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Chile - Importaciones 2005 - Carne Vacuna Enfriada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CHILE!$A$28:$A$31</c:f>
              <c:strCache>
                <c:ptCount val="4"/>
                <c:pt idx="0">
                  <c:v>Argentina</c:v>
                </c:pt>
                <c:pt idx="1">
                  <c:v>Brasil </c:v>
                </c:pt>
                <c:pt idx="2">
                  <c:v>Paraguay</c:v>
                </c:pt>
                <c:pt idx="3">
                  <c:v>Uruguay</c:v>
                </c:pt>
              </c:strCache>
            </c:strRef>
          </c:cat>
          <c:val>
            <c:numRef>
              <c:f>CHILE!$N$28:$N$31</c:f>
              <c:numCache>
                <c:ptCount val="4"/>
                <c:pt idx="0">
                  <c:v>2541.7155442393496</c:v>
                </c:pt>
                <c:pt idx="1">
                  <c:v>2339.7436836413835</c:v>
                </c:pt>
                <c:pt idx="2">
                  <c:v>2672.308408136349</c:v>
                </c:pt>
                <c:pt idx="3">
                  <c:v>3105.8356941419825</c:v>
                </c:pt>
              </c:numCache>
            </c:numRef>
          </c:val>
        </c:ser>
        <c:overlap val="100"/>
        <c:axId val="18696243"/>
        <c:axId val="34048460"/>
      </c:bar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8460"/>
        <c:crosses val="autoZero"/>
        <c:auto val="1"/>
        <c:lblOffset val="100"/>
        <c:noMultiLvlLbl val="0"/>
      </c:catAx>
      <c:valAx>
        <c:axId val="3404846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Chile - Importaciones 2005 - Carne Vacuna Congelada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CHILE!$P$4:$P$7</c:f>
              <c:strCache/>
            </c:strRef>
          </c:cat>
          <c:val>
            <c:numRef>
              <c:f>CHILE!$AC$4:$AC$7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Chile - Importaciones 2005 - Carne Vacuna Congelada Deshuesada - Precio Promedio CIF en U$S/TN.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CHILE!$P$28:$P$31</c:f>
              <c:strCache>
                <c:ptCount val="4"/>
                <c:pt idx="0">
                  <c:v>Argentina</c:v>
                </c:pt>
                <c:pt idx="1">
                  <c:v>Brasil </c:v>
                </c:pt>
                <c:pt idx="2">
                  <c:v>Paraguay</c:v>
                </c:pt>
                <c:pt idx="3">
                  <c:v>Uruguay</c:v>
                </c:pt>
              </c:strCache>
            </c:strRef>
          </c:cat>
          <c:val>
            <c:numRef>
              <c:f>CHILE!$AC$28:$AC$31</c:f>
              <c:numCache>
                <c:ptCount val="4"/>
                <c:pt idx="0">
                  <c:v>1909.6353899451276</c:v>
                </c:pt>
                <c:pt idx="1">
                  <c:v>1821.8820329145678</c:v>
                </c:pt>
                <c:pt idx="2">
                  <c:v>1726.763594350148</c:v>
                </c:pt>
                <c:pt idx="3">
                  <c:v>2174.5011767529754</c:v>
                </c:pt>
              </c:numCache>
            </c:numRef>
          </c:val>
        </c:ser>
        <c:overlap val="100"/>
        <c:axId val="38000685"/>
        <c:axId val="6461846"/>
      </c:bar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846"/>
        <c:crosses val="autoZero"/>
        <c:auto val="1"/>
        <c:lblOffset val="100"/>
        <c:noMultiLvlLbl val="0"/>
      </c:catAx>
      <c:valAx>
        <c:axId val="646184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Reino Unido - Importaciones 2005 - Carne Vacuna Refrigerada Deshuesada - Toneladas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('REINO UNIDO'!$A$4:$A$5,'REINO UNIDO'!$A$7,'REINO UNIDO'!$A$11:$A$16)</c:f>
              <c:strCache/>
            </c:strRef>
          </c:cat>
          <c:val>
            <c:numRef>
              <c:f>('REINO UNIDO'!$N$4:$N$5,'REINO UNIDO'!$N$7,'REINO UNIDO'!$N$11:$N$16)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Relationship Id="rId4" Type="http://schemas.openxmlformats.org/officeDocument/2006/relationships/chart" Target="/xl/charts/chart82.xml" /></Relationships>
</file>

<file path=xl/drawings/_rels/drawing10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Relationship Id="rId3" Type="http://schemas.openxmlformats.org/officeDocument/2006/relationships/chart" Target="/xl/charts/chart85.xml" /><Relationship Id="rId4" Type="http://schemas.openxmlformats.org/officeDocument/2006/relationships/chart" Target="/xl/charts/chart8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Relationship Id="rId5" Type="http://schemas.openxmlformats.org/officeDocument/2006/relationships/chart" Target="/xl/charts/chart73.xml" /><Relationship Id="rId6" Type="http://schemas.openxmlformats.org/officeDocument/2006/relationships/chart" Target="/xl/charts/chart74.xml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0.0605</cdr:x>
      <cdr:y>0.0465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6672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59</xdr:row>
      <xdr:rowOff>152400</xdr:rowOff>
    </xdr:from>
    <xdr:to>
      <xdr:col>11</xdr:col>
      <xdr:colOff>9525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1362075" y="9705975"/>
        <a:ext cx="71628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1343025</xdr:colOff>
      <xdr:row>89</xdr:row>
      <xdr:rowOff>152400</xdr:rowOff>
    </xdr:from>
    <xdr:to>
      <xdr:col>10</xdr:col>
      <xdr:colOff>704850</xdr:colOff>
      <xdr:row>121</xdr:row>
      <xdr:rowOff>0</xdr:rowOff>
    </xdr:to>
    <xdr:graphicFrame>
      <xdr:nvGraphicFramePr>
        <xdr:cNvPr id="2" name="Chart 2"/>
        <xdr:cNvGraphicFramePr/>
      </xdr:nvGraphicFramePr>
      <xdr:xfrm>
        <a:off x="1343025" y="14563725"/>
        <a:ext cx="716280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90</xdr:row>
      <xdr:rowOff>0</xdr:rowOff>
    </xdr:from>
    <xdr:to>
      <xdr:col>26</xdr:col>
      <xdr:colOff>28575</xdr:colOff>
      <xdr:row>121</xdr:row>
      <xdr:rowOff>19050</xdr:rowOff>
    </xdr:to>
    <xdr:graphicFrame>
      <xdr:nvGraphicFramePr>
        <xdr:cNvPr id="3" name="Chart 4"/>
        <xdr:cNvGraphicFramePr/>
      </xdr:nvGraphicFramePr>
      <xdr:xfrm>
        <a:off x="12839700" y="14573250"/>
        <a:ext cx="71723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1362075</xdr:colOff>
      <xdr:row>60</xdr:row>
      <xdr:rowOff>9525</xdr:rowOff>
    </xdr:from>
    <xdr:to>
      <xdr:col>26</xdr:col>
      <xdr:colOff>28575</xdr:colOff>
      <xdr:row>89</xdr:row>
      <xdr:rowOff>19050</xdr:rowOff>
    </xdr:to>
    <xdr:graphicFrame>
      <xdr:nvGraphicFramePr>
        <xdr:cNvPr id="4" name="Chart 5"/>
        <xdr:cNvGraphicFramePr/>
      </xdr:nvGraphicFramePr>
      <xdr:xfrm>
        <a:off x="12830175" y="9725025"/>
        <a:ext cx="718185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0.04675</cdr:x>
      <cdr:y>0.04725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0.04575</cdr:x>
      <cdr:y>0.043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238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0.03675</cdr:x>
      <cdr:y>0.04725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667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27</xdr:row>
      <xdr:rowOff>152400</xdr:rowOff>
    </xdr:from>
    <xdr:to>
      <xdr:col>10</xdr:col>
      <xdr:colOff>704850</xdr:colOff>
      <xdr:row>56</xdr:row>
      <xdr:rowOff>123825</xdr:rowOff>
    </xdr:to>
    <xdr:graphicFrame>
      <xdr:nvGraphicFramePr>
        <xdr:cNvPr id="1" name="Chart 8"/>
        <xdr:cNvGraphicFramePr/>
      </xdr:nvGraphicFramePr>
      <xdr:xfrm>
        <a:off x="1543050" y="4524375"/>
        <a:ext cx="69627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11</xdr:col>
      <xdr:colOff>19050</xdr:colOff>
      <xdr:row>88</xdr:row>
      <xdr:rowOff>19050</xdr:rowOff>
    </xdr:to>
    <xdr:graphicFrame>
      <xdr:nvGraphicFramePr>
        <xdr:cNvPr id="2" name="Chart 9"/>
        <xdr:cNvGraphicFramePr/>
      </xdr:nvGraphicFramePr>
      <xdr:xfrm>
        <a:off x="1371600" y="9391650"/>
        <a:ext cx="716280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28</xdr:row>
      <xdr:rowOff>0</xdr:rowOff>
    </xdr:from>
    <xdr:to>
      <xdr:col>24</xdr:col>
      <xdr:colOff>76200</xdr:colOff>
      <xdr:row>56</xdr:row>
      <xdr:rowOff>133350</xdr:rowOff>
    </xdr:to>
    <xdr:graphicFrame>
      <xdr:nvGraphicFramePr>
        <xdr:cNvPr id="3" name="Chart 10"/>
        <xdr:cNvGraphicFramePr/>
      </xdr:nvGraphicFramePr>
      <xdr:xfrm>
        <a:off x="11468100" y="4533900"/>
        <a:ext cx="7162800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58</xdr:row>
      <xdr:rowOff>0</xdr:rowOff>
    </xdr:from>
    <xdr:to>
      <xdr:col>24</xdr:col>
      <xdr:colOff>76200</xdr:colOff>
      <xdr:row>88</xdr:row>
      <xdr:rowOff>19050</xdr:rowOff>
    </xdr:to>
    <xdr:graphicFrame>
      <xdr:nvGraphicFramePr>
        <xdr:cNvPr id="4" name="Chart 11"/>
        <xdr:cNvGraphicFramePr/>
      </xdr:nvGraphicFramePr>
      <xdr:xfrm>
        <a:off x="11468100" y="9391650"/>
        <a:ext cx="716280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0.05775</cdr:x>
      <cdr:y>0.043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095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0.04725</cdr:x>
      <cdr:y>0.05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0.0705</cdr:x>
      <cdr:y>0.0455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48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0.047</cdr:x>
      <cdr:y>0.05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11</xdr:col>
      <xdr:colOff>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1371600" y="5829300"/>
        <a:ext cx="71437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11</xdr:col>
      <xdr:colOff>0</xdr:colOff>
      <xdr:row>96</xdr:row>
      <xdr:rowOff>152400</xdr:rowOff>
    </xdr:to>
    <xdr:graphicFrame>
      <xdr:nvGraphicFramePr>
        <xdr:cNvPr id="2" name="Chart 2"/>
        <xdr:cNvGraphicFramePr/>
      </xdr:nvGraphicFramePr>
      <xdr:xfrm>
        <a:off x="1371600" y="11029950"/>
        <a:ext cx="71437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1362075</xdr:colOff>
      <xdr:row>36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12830175" y="5829300"/>
        <a:ext cx="7153275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68</xdr:row>
      <xdr:rowOff>0</xdr:rowOff>
    </xdr:from>
    <xdr:to>
      <xdr:col>26</xdr:col>
      <xdr:colOff>9525</xdr:colOff>
      <xdr:row>96</xdr:row>
      <xdr:rowOff>142875</xdr:rowOff>
    </xdr:to>
    <xdr:graphicFrame>
      <xdr:nvGraphicFramePr>
        <xdr:cNvPr id="4" name="Chart 4"/>
        <xdr:cNvGraphicFramePr/>
      </xdr:nvGraphicFramePr>
      <xdr:xfrm>
        <a:off x="12839700" y="11010900"/>
        <a:ext cx="715327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0.054</cdr:x>
      <cdr:y>0.042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8100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0.0535</cdr:x>
      <cdr:y>0.0495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810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0.05725</cdr:x>
      <cdr:y>0.0425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095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0.04625</cdr:x>
      <cdr:y>0.0495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60</xdr:row>
      <xdr:rowOff>9525</xdr:rowOff>
    </xdr:from>
    <xdr:to>
      <xdr:col>10</xdr:col>
      <xdr:colOff>695325</xdr:colOff>
      <xdr:row>91</xdr:row>
      <xdr:rowOff>9525</xdr:rowOff>
    </xdr:to>
    <xdr:graphicFrame>
      <xdr:nvGraphicFramePr>
        <xdr:cNvPr id="1" name="Chart 1"/>
        <xdr:cNvGraphicFramePr/>
      </xdr:nvGraphicFramePr>
      <xdr:xfrm>
        <a:off x="1362075" y="9725025"/>
        <a:ext cx="7134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1352550</xdr:colOff>
      <xdr:row>92</xdr:row>
      <xdr:rowOff>0</xdr:rowOff>
    </xdr:from>
    <xdr:to>
      <xdr:col>11</xdr:col>
      <xdr:colOff>0</xdr:colOff>
      <xdr:row>121</xdr:row>
      <xdr:rowOff>9525</xdr:rowOff>
    </xdr:to>
    <xdr:graphicFrame>
      <xdr:nvGraphicFramePr>
        <xdr:cNvPr id="2" name="Chart 2"/>
        <xdr:cNvGraphicFramePr/>
      </xdr:nvGraphicFramePr>
      <xdr:xfrm>
        <a:off x="1352550" y="14897100"/>
        <a:ext cx="71628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60</xdr:row>
      <xdr:rowOff>0</xdr:rowOff>
    </xdr:from>
    <xdr:to>
      <xdr:col>26</xdr:col>
      <xdr:colOff>0</xdr:colOff>
      <xdr:row>91</xdr:row>
      <xdr:rowOff>9525</xdr:rowOff>
    </xdr:to>
    <xdr:graphicFrame>
      <xdr:nvGraphicFramePr>
        <xdr:cNvPr id="3" name="Chart 3"/>
        <xdr:cNvGraphicFramePr/>
      </xdr:nvGraphicFramePr>
      <xdr:xfrm>
        <a:off x="12839700" y="9715500"/>
        <a:ext cx="714375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92</xdr:row>
      <xdr:rowOff>0</xdr:rowOff>
    </xdr:from>
    <xdr:to>
      <xdr:col>26</xdr:col>
      <xdr:colOff>28575</xdr:colOff>
      <xdr:row>121</xdr:row>
      <xdr:rowOff>19050</xdr:rowOff>
    </xdr:to>
    <xdr:graphicFrame>
      <xdr:nvGraphicFramePr>
        <xdr:cNvPr id="4" name="Chart 4"/>
        <xdr:cNvGraphicFramePr/>
      </xdr:nvGraphicFramePr>
      <xdr:xfrm>
        <a:off x="12839700" y="14897100"/>
        <a:ext cx="717232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0.055</cdr:x>
      <cdr:y>0.044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0005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0.034</cdr:x>
      <cdr:y>0.04525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4765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0.06575</cdr:x>
      <cdr:y>0.046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7625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0.052</cdr:x>
      <cdr:y>0.04525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714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0.04475</cdr:x>
      <cdr:y>0.04825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429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60</xdr:row>
      <xdr:rowOff>28575</xdr:rowOff>
    </xdr:from>
    <xdr:to>
      <xdr:col>11</xdr:col>
      <xdr:colOff>28575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1352550" y="9744075"/>
        <a:ext cx="7191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1333500</xdr:colOff>
      <xdr:row>91</xdr:row>
      <xdr:rowOff>28575</xdr:rowOff>
    </xdr:from>
    <xdr:to>
      <xdr:col>11</xdr:col>
      <xdr:colOff>28575</xdr:colOff>
      <xdr:row>123</xdr:row>
      <xdr:rowOff>0</xdr:rowOff>
    </xdr:to>
    <xdr:graphicFrame>
      <xdr:nvGraphicFramePr>
        <xdr:cNvPr id="2" name="Chart 2"/>
        <xdr:cNvGraphicFramePr/>
      </xdr:nvGraphicFramePr>
      <xdr:xfrm>
        <a:off x="1333500" y="14763750"/>
        <a:ext cx="72104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60</xdr:row>
      <xdr:rowOff>0</xdr:rowOff>
    </xdr:from>
    <xdr:to>
      <xdr:col>26</xdr:col>
      <xdr:colOff>57150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12982575" y="9715500"/>
        <a:ext cx="720090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26</xdr:col>
      <xdr:colOff>76200</xdr:colOff>
      <xdr:row>122</xdr:row>
      <xdr:rowOff>142875</xdr:rowOff>
    </xdr:to>
    <xdr:graphicFrame>
      <xdr:nvGraphicFramePr>
        <xdr:cNvPr id="4" name="Chart 4"/>
        <xdr:cNvGraphicFramePr/>
      </xdr:nvGraphicFramePr>
      <xdr:xfrm>
        <a:off x="12982575" y="14735175"/>
        <a:ext cx="7219950" cy="5162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0.06075</cdr:x>
      <cdr:y>0.04525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3815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0.0485</cdr:x>
      <cdr:y>0.04825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429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0.07675</cdr:x>
      <cdr:y>0.04775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5245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0.0425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048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59</xdr:row>
      <xdr:rowOff>152400</xdr:rowOff>
    </xdr:from>
    <xdr:to>
      <xdr:col>10</xdr:col>
      <xdr:colOff>704850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1352550" y="9705975"/>
        <a:ext cx="71532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91</xdr:row>
      <xdr:rowOff>19050</xdr:rowOff>
    </xdr:from>
    <xdr:to>
      <xdr:col>11</xdr:col>
      <xdr:colOff>0</xdr:colOff>
      <xdr:row>120</xdr:row>
      <xdr:rowOff>152400</xdr:rowOff>
    </xdr:to>
    <xdr:graphicFrame>
      <xdr:nvGraphicFramePr>
        <xdr:cNvPr id="2" name="Chart 2"/>
        <xdr:cNvGraphicFramePr/>
      </xdr:nvGraphicFramePr>
      <xdr:xfrm>
        <a:off x="1362075" y="14754225"/>
        <a:ext cx="71532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60</xdr:row>
      <xdr:rowOff>0</xdr:rowOff>
    </xdr:from>
    <xdr:to>
      <xdr:col>26</xdr:col>
      <xdr:colOff>19050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12839700" y="9715500"/>
        <a:ext cx="7162800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26</xdr:col>
      <xdr:colOff>19050</xdr:colOff>
      <xdr:row>120</xdr:row>
      <xdr:rowOff>142875</xdr:rowOff>
    </xdr:to>
    <xdr:graphicFrame>
      <xdr:nvGraphicFramePr>
        <xdr:cNvPr id="4" name="Chart 4"/>
        <xdr:cNvGraphicFramePr/>
      </xdr:nvGraphicFramePr>
      <xdr:xfrm>
        <a:off x="12839700" y="14735175"/>
        <a:ext cx="7162800" cy="483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0.07675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5245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0.00425</cdr:x>
      <cdr:y>0.04825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0.07675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5245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0.0025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0.07175</cdr:x>
      <cdr:y>0.04925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5245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60</xdr:row>
      <xdr:rowOff>0</xdr:rowOff>
    </xdr:from>
    <xdr:to>
      <xdr:col>10</xdr:col>
      <xdr:colOff>704850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1352550" y="9715500"/>
        <a:ext cx="71532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1343025</xdr:colOff>
      <xdr:row>91</xdr:row>
      <xdr:rowOff>28575</xdr:rowOff>
    </xdr:from>
    <xdr:to>
      <xdr:col>10</xdr:col>
      <xdr:colOff>704850</xdr:colOff>
      <xdr:row>121</xdr:row>
      <xdr:rowOff>9525</xdr:rowOff>
    </xdr:to>
    <xdr:graphicFrame>
      <xdr:nvGraphicFramePr>
        <xdr:cNvPr id="2" name="Chart 2"/>
        <xdr:cNvGraphicFramePr/>
      </xdr:nvGraphicFramePr>
      <xdr:xfrm>
        <a:off x="1343025" y="14763750"/>
        <a:ext cx="716280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60</xdr:row>
      <xdr:rowOff>0</xdr:rowOff>
    </xdr:from>
    <xdr:to>
      <xdr:col>26</xdr:col>
      <xdr:colOff>19050</xdr:colOff>
      <xdr:row>90</xdr:row>
      <xdr:rowOff>0</xdr:rowOff>
    </xdr:to>
    <xdr:graphicFrame>
      <xdr:nvGraphicFramePr>
        <xdr:cNvPr id="3" name="Chart 3"/>
        <xdr:cNvGraphicFramePr/>
      </xdr:nvGraphicFramePr>
      <xdr:xfrm>
        <a:off x="12839700" y="9715500"/>
        <a:ext cx="71628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26</xdr:col>
      <xdr:colOff>28575</xdr:colOff>
      <xdr:row>120</xdr:row>
      <xdr:rowOff>152400</xdr:rowOff>
    </xdr:to>
    <xdr:graphicFrame>
      <xdr:nvGraphicFramePr>
        <xdr:cNvPr id="4" name="Chart 4"/>
        <xdr:cNvGraphicFramePr/>
      </xdr:nvGraphicFramePr>
      <xdr:xfrm>
        <a:off x="12839700" y="14735175"/>
        <a:ext cx="71723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0.07675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524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0.0485</cdr:x>
      <cdr:y>0.04675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429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0.07575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5245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0.04775</cdr:x>
      <cdr:y>0.04625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524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60</xdr:row>
      <xdr:rowOff>0</xdr:rowOff>
    </xdr:from>
    <xdr:to>
      <xdr:col>11</xdr:col>
      <xdr:colOff>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1352550" y="9715500"/>
        <a:ext cx="71628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1343025</xdr:colOff>
      <xdr:row>89</xdr:row>
      <xdr:rowOff>9525</xdr:rowOff>
    </xdr:from>
    <xdr:to>
      <xdr:col>10</xdr:col>
      <xdr:colOff>704850</xdr:colOff>
      <xdr:row>120</xdr:row>
      <xdr:rowOff>0</xdr:rowOff>
    </xdr:to>
    <xdr:graphicFrame>
      <xdr:nvGraphicFramePr>
        <xdr:cNvPr id="2" name="Chart 2"/>
        <xdr:cNvGraphicFramePr/>
      </xdr:nvGraphicFramePr>
      <xdr:xfrm>
        <a:off x="1343025" y="14420850"/>
        <a:ext cx="71628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60</xdr:row>
      <xdr:rowOff>0</xdr:rowOff>
    </xdr:from>
    <xdr:to>
      <xdr:col>25</xdr:col>
      <xdr:colOff>657225</xdr:colOff>
      <xdr:row>88</xdr:row>
      <xdr:rowOff>9525</xdr:rowOff>
    </xdr:to>
    <xdr:graphicFrame>
      <xdr:nvGraphicFramePr>
        <xdr:cNvPr id="3" name="Chart 3"/>
        <xdr:cNvGraphicFramePr/>
      </xdr:nvGraphicFramePr>
      <xdr:xfrm>
        <a:off x="13173075" y="9715500"/>
        <a:ext cx="72961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89</xdr:row>
      <xdr:rowOff>0</xdr:rowOff>
    </xdr:from>
    <xdr:to>
      <xdr:col>25</xdr:col>
      <xdr:colOff>657225</xdr:colOff>
      <xdr:row>120</xdr:row>
      <xdr:rowOff>0</xdr:rowOff>
    </xdr:to>
    <xdr:graphicFrame>
      <xdr:nvGraphicFramePr>
        <xdr:cNvPr id="4" name="Chart 4"/>
        <xdr:cNvGraphicFramePr/>
      </xdr:nvGraphicFramePr>
      <xdr:xfrm>
        <a:off x="13173075" y="14411325"/>
        <a:ext cx="7296150" cy="501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0.05775</cdr:x>
      <cdr:y>0.04625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095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0.04875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524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36</xdr:row>
      <xdr:rowOff>9525</xdr:rowOff>
    </xdr:from>
    <xdr:to>
      <xdr:col>10</xdr:col>
      <xdr:colOff>695325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1362075" y="5838825"/>
        <a:ext cx="71342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66</xdr:row>
      <xdr:rowOff>0</xdr:rowOff>
    </xdr:from>
    <xdr:to>
      <xdr:col>11</xdr:col>
      <xdr:colOff>0</xdr:colOff>
      <xdr:row>96</xdr:row>
      <xdr:rowOff>0</xdr:rowOff>
    </xdr:to>
    <xdr:graphicFrame>
      <xdr:nvGraphicFramePr>
        <xdr:cNvPr id="2" name="Chart 2"/>
        <xdr:cNvGraphicFramePr/>
      </xdr:nvGraphicFramePr>
      <xdr:xfrm>
        <a:off x="1362075" y="10687050"/>
        <a:ext cx="7153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0.06175</cdr:x>
      <cdr:y>0.047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3815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0.04525</cdr:x>
      <cdr:y>0.04825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429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</cdr:x>
      <cdr:y>0.05125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667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10</xdr:col>
      <xdr:colOff>704850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371600" y="5829300"/>
        <a:ext cx="71342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66</xdr:row>
      <xdr:rowOff>9525</xdr:rowOff>
    </xdr:from>
    <xdr:to>
      <xdr:col>11</xdr:col>
      <xdr:colOff>0</xdr:colOff>
      <xdr:row>94</xdr:row>
      <xdr:rowOff>9525</xdr:rowOff>
    </xdr:to>
    <xdr:graphicFrame>
      <xdr:nvGraphicFramePr>
        <xdr:cNvPr id="2" name="Chart 2"/>
        <xdr:cNvGraphicFramePr/>
      </xdr:nvGraphicFramePr>
      <xdr:xfrm>
        <a:off x="1362075" y="10696575"/>
        <a:ext cx="71532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0.05525</cdr:x>
      <cdr:y>0.04525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9052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0.04875</cdr:x>
      <cdr:y>0.04975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524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0.05525</cdr:x>
      <cdr:y>0.045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0005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0.053</cdr:x>
      <cdr:y>0.04925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810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9525</xdr:rowOff>
    </xdr:from>
    <xdr:to>
      <xdr:col>11</xdr:col>
      <xdr:colOff>9525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1371600" y="7296150"/>
        <a:ext cx="71532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75</xdr:row>
      <xdr:rowOff>19050</xdr:rowOff>
    </xdr:from>
    <xdr:to>
      <xdr:col>10</xdr:col>
      <xdr:colOff>704850</xdr:colOff>
      <xdr:row>104</xdr:row>
      <xdr:rowOff>0</xdr:rowOff>
    </xdr:to>
    <xdr:graphicFrame>
      <xdr:nvGraphicFramePr>
        <xdr:cNvPr id="2" name="Chart 2"/>
        <xdr:cNvGraphicFramePr/>
      </xdr:nvGraphicFramePr>
      <xdr:xfrm>
        <a:off x="1362075" y="12163425"/>
        <a:ext cx="71437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25</xdr:col>
      <xdr:colOff>304800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2411075" y="7286625"/>
        <a:ext cx="71628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75</xdr:row>
      <xdr:rowOff>0</xdr:rowOff>
    </xdr:from>
    <xdr:to>
      <xdr:col>25</xdr:col>
      <xdr:colOff>295275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12411075" y="12144375"/>
        <a:ext cx="7153275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</cdr:x>
      <cdr:y>0.0475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2862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0.04625</cdr:x>
      <cdr:y>0.0495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36</xdr:row>
      <xdr:rowOff>0</xdr:rowOff>
    </xdr:from>
    <xdr:to>
      <xdr:col>11</xdr:col>
      <xdr:colOff>19050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1343025" y="5829300"/>
        <a:ext cx="71913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65</xdr:row>
      <xdr:rowOff>0</xdr:rowOff>
    </xdr:from>
    <xdr:to>
      <xdr:col>11</xdr:col>
      <xdr:colOff>0</xdr:colOff>
      <xdr:row>94</xdr:row>
      <xdr:rowOff>0</xdr:rowOff>
    </xdr:to>
    <xdr:graphicFrame>
      <xdr:nvGraphicFramePr>
        <xdr:cNvPr id="2" name="Chart 2"/>
        <xdr:cNvGraphicFramePr/>
      </xdr:nvGraphicFramePr>
      <xdr:xfrm>
        <a:off x="1362075" y="10525125"/>
        <a:ext cx="71532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152400</xdr:rowOff>
    </xdr:from>
    <xdr:to>
      <xdr:col>11</xdr:col>
      <xdr:colOff>495300</xdr:colOff>
      <xdr:row>89</xdr:row>
      <xdr:rowOff>0</xdr:rowOff>
    </xdr:to>
    <xdr:graphicFrame>
      <xdr:nvGraphicFramePr>
        <xdr:cNvPr id="1" name="Chart 2"/>
        <xdr:cNvGraphicFramePr/>
      </xdr:nvGraphicFramePr>
      <xdr:xfrm>
        <a:off x="1371600" y="9705975"/>
        <a:ext cx="7734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1352550</xdr:colOff>
      <xdr:row>90</xdr:row>
      <xdr:rowOff>9525</xdr:rowOff>
    </xdr:from>
    <xdr:to>
      <xdr:col>11</xdr:col>
      <xdr:colOff>495300</xdr:colOff>
      <xdr:row>120</xdr:row>
      <xdr:rowOff>9525</xdr:rowOff>
    </xdr:to>
    <xdr:graphicFrame>
      <xdr:nvGraphicFramePr>
        <xdr:cNvPr id="2" name="Chart 3"/>
        <xdr:cNvGraphicFramePr/>
      </xdr:nvGraphicFramePr>
      <xdr:xfrm>
        <a:off x="1352550" y="14582775"/>
        <a:ext cx="7753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60</xdr:row>
      <xdr:rowOff>0</xdr:rowOff>
    </xdr:from>
    <xdr:to>
      <xdr:col>26</xdr:col>
      <xdr:colOff>504825</xdr:colOff>
      <xdr:row>89</xdr:row>
      <xdr:rowOff>19050</xdr:rowOff>
    </xdr:to>
    <xdr:graphicFrame>
      <xdr:nvGraphicFramePr>
        <xdr:cNvPr id="3" name="Chart 4"/>
        <xdr:cNvGraphicFramePr/>
      </xdr:nvGraphicFramePr>
      <xdr:xfrm>
        <a:off x="12934950" y="9715500"/>
        <a:ext cx="764857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1362075</xdr:colOff>
      <xdr:row>90</xdr:row>
      <xdr:rowOff>19050</xdr:rowOff>
    </xdr:from>
    <xdr:to>
      <xdr:col>26</xdr:col>
      <xdr:colOff>514350</xdr:colOff>
      <xdr:row>120</xdr:row>
      <xdr:rowOff>28575</xdr:rowOff>
    </xdr:to>
    <xdr:graphicFrame>
      <xdr:nvGraphicFramePr>
        <xdr:cNvPr id="4" name="Chart 5"/>
        <xdr:cNvGraphicFramePr/>
      </xdr:nvGraphicFramePr>
      <xdr:xfrm>
        <a:off x="12925425" y="14592300"/>
        <a:ext cx="7667625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0.05875</cdr:x>
      <cdr:y>0.04625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191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0.04625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19050</xdr:rowOff>
    </xdr:from>
    <xdr:to>
      <xdr:col>10</xdr:col>
      <xdr:colOff>704850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1371600" y="5848350"/>
        <a:ext cx="71342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1352550</xdr:colOff>
      <xdr:row>66</xdr:row>
      <xdr:rowOff>19050</xdr:rowOff>
    </xdr:from>
    <xdr:to>
      <xdr:col>10</xdr:col>
      <xdr:colOff>704850</xdr:colOff>
      <xdr:row>94</xdr:row>
      <xdr:rowOff>9525</xdr:rowOff>
    </xdr:to>
    <xdr:graphicFrame>
      <xdr:nvGraphicFramePr>
        <xdr:cNvPr id="2" name="Chart 2"/>
        <xdr:cNvGraphicFramePr/>
      </xdr:nvGraphicFramePr>
      <xdr:xfrm>
        <a:off x="1352550" y="10706100"/>
        <a:ext cx="71532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0.05025</cdr:x>
      <cdr:y>0.0445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6195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</cdr:x>
      <cdr:y>0.04825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667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0.05825</cdr:x>
      <cdr:y>0.0455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1910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0.04525</cdr:x>
      <cdr:y>0.04825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238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39</xdr:row>
      <xdr:rowOff>9525</xdr:rowOff>
    </xdr:from>
    <xdr:to>
      <xdr:col>10</xdr:col>
      <xdr:colOff>695325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362075" y="6324600"/>
        <a:ext cx="71342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9525</xdr:rowOff>
    </xdr:from>
    <xdr:to>
      <xdr:col>11</xdr:col>
      <xdr:colOff>0</xdr:colOff>
      <xdr:row>99</xdr:row>
      <xdr:rowOff>9525</xdr:rowOff>
    </xdr:to>
    <xdr:graphicFrame>
      <xdr:nvGraphicFramePr>
        <xdr:cNvPr id="2" name="Chart 2"/>
        <xdr:cNvGraphicFramePr/>
      </xdr:nvGraphicFramePr>
      <xdr:xfrm>
        <a:off x="1371600" y="11182350"/>
        <a:ext cx="714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39</xdr:row>
      <xdr:rowOff>0</xdr:rowOff>
    </xdr:from>
    <xdr:to>
      <xdr:col>26</xdr:col>
      <xdr:colOff>0</xdr:colOff>
      <xdr:row>67</xdr:row>
      <xdr:rowOff>152400</xdr:rowOff>
    </xdr:to>
    <xdr:graphicFrame>
      <xdr:nvGraphicFramePr>
        <xdr:cNvPr id="3" name="Chart 3"/>
        <xdr:cNvGraphicFramePr/>
      </xdr:nvGraphicFramePr>
      <xdr:xfrm>
        <a:off x="12839700" y="6315075"/>
        <a:ext cx="714375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69</xdr:row>
      <xdr:rowOff>0</xdr:rowOff>
    </xdr:from>
    <xdr:to>
      <xdr:col>26</xdr:col>
      <xdr:colOff>9525</xdr:colOff>
      <xdr:row>99</xdr:row>
      <xdr:rowOff>9525</xdr:rowOff>
    </xdr:to>
    <xdr:graphicFrame>
      <xdr:nvGraphicFramePr>
        <xdr:cNvPr id="4" name="Chart 4"/>
        <xdr:cNvGraphicFramePr/>
      </xdr:nvGraphicFramePr>
      <xdr:xfrm>
        <a:off x="12839700" y="11172825"/>
        <a:ext cx="7153275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0.06025</cdr:x>
      <cdr:y>0.046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2862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429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0.058</cdr:x>
      <cdr:y>0.04625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191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</cdr:x>
      <cdr:y>0.04425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6195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0.05775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095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0.0425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048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9525</xdr:rowOff>
    </xdr:from>
    <xdr:to>
      <xdr:col>11</xdr:col>
      <xdr:colOff>19050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1371600" y="7134225"/>
        <a:ext cx="71628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74</xdr:row>
      <xdr:rowOff>19050</xdr:rowOff>
    </xdr:from>
    <xdr:to>
      <xdr:col>11</xdr:col>
      <xdr:colOff>9525</xdr:colOff>
      <xdr:row>103</xdr:row>
      <xdr:rowOff>0</xdr:rowOff>
    </xdr:to>
    <xdr:graphicFrame>
      <xdr:nvGraphicFramePr>
        <xdr:cNvPr id="2" name="Chart 2"/>
        <xdr:cNvGraphicFramePr/>
      </xdr:nvGraphicFramePr>
      <xdr:xfrm>
        <a:off x="1362075" y="12001500"/>
        <a:ext cx="716280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44</xdr:row>
      <xdr:rowOff>0</xdr:rowOff>
    </xdr:from>
    <xdr:to>
      <xdr:col>26</xdr:col>
      <xdr:colOff>28575</xdr:colOff>
      <xdr:row>73</xdr:row>
      <xdr:rowOff>9525</xdr:rowOff>
    </xdr:to>
    <xdr:graphicFrame>
      <xdr:nvGraphicFramePr>
        <xdr:cNvPr id="3" name="Chart 3"/>
        <xdr:cNvGraphicFramePr/>
      </xdr:nvGraphicFramePr>
      <xdr:xfrm>
        <a:off x="12839700" y="7124700"/>
        <a:ext cx="7172325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0</xdr:colOff>
      <xdr:row>45</xdr:row>
      <xdr:rowOff>0</xdr:rowOff>
    </xdr:from>
    <xdr:to>
      <xdr:col>41</xdr:col>
      <xdr:colOff>28575</xdr:colOff>
      <xdr:row>74</xdr:row>
      <xdr:rowOff>9525</xdr:rowOff>
    </xdr:to>
    <xdr:graphicFrame>
      <xdr:nvGraphicFramePr>
        <xdr:cNvPr id="4" name="Chart 4"/>
        <xdr:cNvGraphicFramePr/>
      </xdr:nvGraphicFramePr>
      <xdr:xfrm>
        <a:off x="24307800" y="7286625"/>
        <a:ext cx="71723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74</xdr:row>
      <xdr:rowOff>0</xdr:rowOff>
    </xdr:from>
    <xdr:to>
      <xdr:col>26</xdr:col>
      <xdr:colOff>28575</xdr:colOff>
      <xdr:row>102</xdr:row>
      <xdr:rowOff>152400</xdr:rowOff>
    </xdr:to>
    <xdr:graphicFrame>
      <xdr:nvGraphicFramePr>
        <xdr:cNvPr id="5" name="Chart 5"/>
        <xdr:cNvGraphicFramePr/>
      </xdr:nvGraphicFramePr>
      <xdr:xfrm>
        <a:off x="12839700" y="11982450"/>
        <a:ext cx="7172325" cy="4686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31</xdr:col>
      <xdr:colOff>0</xdr:colOff>
      <xdr:row>75</xdr:row>
      <xdr:rowOff>0</xdr:rowOff>
    </xdr:from>
    <xdr:to>
      <xdr:col>41</xdr:col>
      <xdr:colOff>28575</xdr:colOff>
      <xdr:row>103</xdr:row>
      <xdr:rowOff>152400</xdr:rowOff>
    </xdr:to>
    <xdr:graphicFrame>
      <xdr:nvGraphicFramePr>
        <xdr:cNvPr id="6" name="Chart 6"/>
        <xdr:cNvGraphicFramePr/>
      </xdr:nvGraphicFramePr>
      <xdr:xfrm>
        <a:off x="24307800" y="12144375"/>
        <a:ext cx="7172325" cy="4686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0.06225</cdr:x>
      <cdr:y>0.045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476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0.0485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429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0.05825</cdr:x>
      <cdr:y>0.04425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191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0.0425</cdr:x>
      <cdr:y>0.04825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048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10</xdr:col>
      <xdr:colOff>704850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1371600" y="4695825"/>
        <a:ext cx="71342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60</xdr:row>
      <xdr:rowOff>9525</xdr:rowOff>
    </xdr:from>
    <xdr:to>
      <xdr:col>11</xdr:col>
      <xdr:colOff>9525</xdr:colOff>
      <xdr:row>90</xdr:row>
      <xdr:rowOff>0</xdr:rowOff>
    </xdr:to>
    <xdr:graphicFrame>
      <xdr:nvGraphicFramePr>
        <xdr:cNvPr id="2" name="Chart 2"/>
        <xdr:cNvGraphicFramePr/>
      </xdr:nvGraphicFramePr>
      <xdr:xfrm>
        <a:off x="1371600" y="9725025"/>
        <a:ext cx="715327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29</xdr:row>
      <xdr:rowOff>28575</xdr:rowOff>
    </xdr:from>
    <xdr:to>
      <xdr:col>26</xdr:col>
      <xdr:colOff>0</xdr:colOff>
      <xdr:row>59</xdr:row>
      <xdr:rowOff>47625</xdr:rowOff>
    </xdr:to>
    <xdr:graphicFrame>
      <xdr:nvGraphicFramePr>
        <xdr:cNvPr id="3" name="Chart 3"/>
        <xdr:cNvGraphicFramePr/>
      </xdr:nvGraphicFramePr>
      <xdr:xfrm>
        <a:off x="12839700" y="4724400"/>
        <a:ext cx="7143750" cy="487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60</xdr:row>
      <xdr:rowOff>0</xdr:rowOff>
    </xdr:from>
    <xdr:to>
      <xdr:col>26</xdr:col>
      <xdr:colOff>19050</xdr:colOff>
      <xdr:row>90</xdr:row>
      <xdr:rowOff>0</xdr:rowOff>
    </xdr:to>
    <xdr:graphicFrame>
      <xdr:nvGraphicFramePr>
        <xdr:cNvPr id="4" name="Chart 4"/>
        <xdr:cNvGraphicFramePr/>
      </xdr:nvGraphicFramePr>
      <xdr:xfrm>
        <a:off x="12839700" y="9715500"/>
        <a:ext cx="716280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0.043</cdr:x>
      <cdr:y>0.046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048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0.03775</cdr:x>
      <cdr:y>0.03875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66700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0.04625</cdr:x>
      <cdr:y>0.05125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0.0435</cdr:x>
      <cdr:y>0.04025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14325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0.04875</cdr:x>
      <cdr:y>0.05125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524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11</xdr:col>
      <xdr:colOff>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371600" y="6153150"/>
        <a:ext cx="7143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704850</xdr:colOff>
      <xdr:row>97</xdr:row>
      <xdr:rowOff>0</xdr:rowOff>
    </xdr:to>
    <xdr:graphicFrame>
      <xdr:nvGraphicFramePr>
        <xdr:cNvPr id="2" name="Chart 2"/>
        <xdr:cNvGraphicFramePr/>
      </xdr:nvGraphicFramePr>
      <xdr:xfrm>
        <a:off x="1371600" y="11172825"/>
        <a:ext cx="71342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38</xdr:row>
      <xdr:rowOff>0</xdr:rowOff>
    </xdr:from>
    <xdr:to>
      <xdr:col>26</xdr:col>
      <xdr:colOff>9525</xdr:colOff>
      <xdr:row>68</xdr:row>
      <xdr:rowOff>0</xdr:rowOff>
    </xdr:to>
    <xdr:graphicFrame>
      <xdr:nvGraphicFramePr>
        <xdr:cNvPr id="3" name="Chart 3"/>
        <xdr:cNvGraphicFramePr/>
      </xdr:nvGraphicFramePr>
      <xdr:xfrm>
        <a:off x="12839700" y="6153150"/>
        <a:ext cx="715327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69</xdr:row>
      <xdr:rowOff>0</xdr:rowOff>
    </xdr:from>
    <xdr:to>
      <xdr:col>26</xdr:col>
      <xdr:colOff>0</xdr:colOff>
      <xdr:row>97</xdr:row>
      <xdr:rowOff>9525</xdr:rowOff>
    </xdr:to>
    <xdr:graphicFrame>
      <xdr:nvGraphicFramePr>
        <xdr:cNvPr id="4" name="Chart 4"/>
        <xdr:cNvGraphicFramePr/>
      </xdr:nvGraphicFramePr>
      <xdr:xfrm>
        <a:off x="12839700" y="11172825"/>
        <a:ext cx="714375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0.058</cdr:x>
      <cdr:y>0.046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191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0.04625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0.055</cdr:x>
      <cdr:y>0.04525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9052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0.04625</cdr:x>
      <cdr:y>0.05125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19050</xdr:rowOff>
    </xdr:from>
    <xdr:to>
      <xdr:col>11</xdr:col>
      <xdr:colOff>9525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371600" y="6334125"/>
        <a:ext cx="71532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11</xdr:col>
      <xdr:colOff>9525</xdr:colOff>
      <xdr:row>97</xdr:row>
      <xdr:rowOff>9525</xdr:rowOff>
    </xdr:to>
    <xdr:graphicFrame>
      <xdr:nvGraphicFramePr>
        <xdr:cNvPr id="2" name="Chart 2"/>
        <xdr:cNvGraphicFramePr/>
      </xdr:nvGraphicFramePr>
      <xdr:xfrm>
        <a:off x="1371600" y="11172825"/>
        <a:ext cx="71532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39</xdr:row>
      <xdr:rowOff>0</xdr:rowOff>
    </xdr:from>
    <xdr:to>
      <xdr:col>26</xdr:col>
      <xdr:colOff>19050</xdr:colOff>
      <xdr:row>67</xdr:row>
      <xdr:rowOff>152400</xdr:rowOff>
    </xdr:to>
    <xdr:graphicFrame>
      <xdr:nvGraphicFramePr>
        <xdr:cNvPr id="3" name="Chart 3"/>
        <xdr:cNvGraphicFramePr/>
      </xdr:nvGraphicFramePr>
      <xdr:xfrm>
        <a:off x="12839700" y="6315075"/>
        <a:ext cx="71628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69</xdr:row>
      <xdr:rowOff>0</xdr:rowOff>
    </xdr:from>
    <xdr:to>
      <xdr:col>26</xdr:col>
      <xdr:colOff>19050</xdr:colOff>
      <xdr:row>97</xdr:row>
      <xdr:rowOff>19050</xdr:rowOff>
    </xdr:to>
    <xdr:graphicFrame>
      <xdr:nvGraphicFramePr>
        <xdr:cNvPr id="4" name="Chart 4"/>
        <xdr:cNvGraphicFramePr/>
      </xdr:nvGraphicFramePr>
      <xdr:xfrm>
        <a:off x="12839700" y="11172825"/>
        <a:ext cx="7162800" cy="4552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0.049</cdr:x>
      <cdr:y>0.046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5242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0.0565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191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0.036</cdr:x>
      <cdr:y>0.0475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667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0.0425</cdr:x>
      <cdr:y>0.04125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14325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0.04475</cdr:x>
      <cdr:y>0.04775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39</xdr:row>
      <xdr:rowOff>0</xdr:rowOff>
    </xdr:from>
    <xdr:to>
      <xdr:col>11</xdr:col>
      <xdr:colOff>9525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352550" y="6315075"/>
        <a:ext cx="7343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1352550</xdr:colOff>
      <xdr:row>68</xdr:row>
      <xdr:rowOff>152400</xdr:rowOff>
    </xdr:from>
    <xdr:to>
      <xdr:col>11</xdr:col>
      <xdr:colOff>9525</xdr:colOff>
      <xdr:row>99</xdr:row>
      <xdr:rowOff>0</xdr:rowOff>
    </xdr:to>
    <xdr:graphicFrame>
      <xdr:nvGraphicFramePr>
        <xdr:cNvPr id="2" name="Chart 2"/>
        <xdr:cNvGraphicFramePr/>
      </xdr:nvGraphicFramePr>
      <xdr:xfrm>
        <a:off x="1352550" y="11163300"/>
        <a:ext cx="73437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39</xdr:row>
      <xdr:rowOff>0</xdr:rowOff>
    </xdr:from>
    <xdr:to>
      <xdr:col>26</xdr:col>
      <xdr:colOff>209550</xdr:colOff>
      <xdr:row>68</xdr:row>
      <xdr:rowOff>9525</xdr:rowOff>
    </xdr:to>
    <xdr:graphicFrame>
      <xdr:nvGraphicFramePr>
        <xdr:cNvPr id="3" name="Chart 3"/>
        <xdr:cNvGraphicFramePr/>
      </xdr:nvGraphicFramePr>
      <xdr:xfrm>
        <a:off x="13220700" y="6315075"/>
        <a:ext cx="73533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69</xdr:row>
      <xdr:rowOff>0</xdr:rowOff>
    </xdr:from>
    <xdr:to>
      <xdr:col>26</xdr:col>
      <xdr:colOff>209550</xdr:colOff>
      <xdr:row>99</xdr:row>
      <xdr:rowOff>19050</xdr:rowOff>
    </xdr:to>
    <xdr:graphicFrame>
      <xdr:nvGraphicFramePr>
        <xdr:cNvPr id="4" name="Chart 4"/>
        <xdr:cNvGraphicFramePr/>
      </xdr:nvGraphicFramePr>
      <xdr:xfrm>
        <a:off x="13220700" y="11172825"/>
        <a:ext cx="735330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0.06925</cdr:x>
      <cdr:y>0.05125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953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0.04625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44</xdr:row>
      <xdr:rowOff>142875</xdr:rowOff>
    </xdr:from>
    <xdr:to>
      <xdr:col>10</xdr:col>
      <xdr:colOff>704850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1362075" y="7267575"/>
        <a:ext cx="71437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1352550</xdr:colOff>
      <xdr:row>73</xdr:row>
      <xdr:rowOff>9525</xdr:rowOff>
    </xdr:from>
    <xdr:to>
      <xdr:col>11</xdr:col>
      <xdr:colOff>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352550" y="11830050"/>
        <a:ext cx="716280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0.03725</cdr:x>
      <cdr:y>0.03975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762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0.03575</cdr:x>
      <cdr:y>0.05125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667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0.06025</cdr:x>
      <cdr:y>0.04625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2862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0.04325</cdr:x>
      <cdr:y>0.0415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23850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0.04125</cdr:x>
      <cdr:y>0.038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429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0.03575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667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0.05125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667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19050</xdr:rowOff>
    </xdr:from>
    <xdr:to>
      <xdr:col>10</xdr:col>
      <xdr:colOff>685800</xdr:colOff>
      <xdr:row>79</xdr:row>
      <xdr:rowOff>152400</xdr:rowOff>
    </xdr:to>
    <xdr:graphicFrame>
      <xdr:nvGraphicFramePr>
        <xdr:cNvPr id="1" name="Chart 1"/>
        <xdr:cNvGraphicFramePr/>
      </xdr:nvGraphicFramePr>
      <xdr:xfrm>
        <a:off x="1371600" y="8277225"/>
        <a:ext cx="7372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81</xdr:row>
      <xdr:rowOff>9525</xdr:rowOff>
    </xdr:from>
    <xdr:to>
      <xdr:col>10</xdr:col>
      <xdr:colOff>695325</xdr:colOff>
      <xdr:row>108</xdr:row>
      <xdr:rowOff>152400</xdr:rowOff>
    </xdr:to>
    <xdr:graphicFrame>
      <xdr:nvGraphicFramePr>
        <xdr:cNvPr id="2" name="Chart 2"/>
        <xdr:cNvGraphicFramePr/>
      </xdr:nvGraphicFramePr>
      <xdr:xfrm>
        <a:off x="1371600" y="13125450"/>
        <a:ext cx="73818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51</xdr:row>
      <xdr:rowOff>0</xdr:rowOff>
    </xdr:from>
    <xdr:to>
      <xdr:col>25</xdr:col>
      <xdr:colOff>695325</xdr:colOff>
      <xdr:row>79</xdr:row>
      <xdr:rowOff>142875</xdr:rowOff>
    </xdr:to>
    <xdr:graphicFrame>
      <xdr:nvGraphicFramePr>
        <xdr:cNvPr id="3" name="Chart 3"/>
        <xdr:cNvGraphicFramePr/>
      </xdr:nvGraphicFramePr>
      <xdr:xfrm>
        <a:off x="13211175" y="8258175"/>
        <a:ext cx="738187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0</xdr:colOff>
      <xdr:row>51</xdr:row>
      <xdr:rowOff>0</xdr:rowOff>
    </xdr:from>
    <xdr:to>
      <xdr:col>41</xdr:col>
      <xdr:colOff>209550</xdr:colOff>
      <xdr:row>79</xdr:row>
      <xdr:rowOff>142875</xdr:rowOff>
    </xdr:to>
    <xdr:graphicFrame>
      <xdr:nvGraphicFramePr>
        <xdr:cNvPr id="4" name="Chart 4"/>
        <xdr:cNvGraphicFramePr/>
      </xdr:nvGraphicFramePr>
      <xdr:xfrm>
        <a:off x="25107900" y="8258175"/>
        <a:ext cx="83058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81</xdr:row>
      <xdr:rowOff>0</xdr:rowOff>
    </xdr:from>
    <xdr:to>
      <xdr:col>25</xdr:col>
      <xdr:colOff>704850</xdr:colOff>
      <xdr:row>108</xdr:row>
      <xdr:rowOff>152400</xdr:rowOff>
    </xdr:to>
    <xdr:graphicFrame>
      <xdr:nvGraphicFramePr>
        <xdr:cNvPr id="5" name="Chart 5"/>
        <xdr:cNvGraphicFramePr/>
      </xdr:nvGraphicFramePr>
      <xdr:xfrm>
        <a:off x="13211175" y="13115925"/>
        <a:ext cx="7391400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31</xdr:col>
      <xdr:colOff>0</xdr:colOff>
      <xdr:row>81</xdr:row>
      <xdr:rowOff>0</xdr:rowOff>
    </xdr:from>
    <xdr:to>
      <xdr:col>41</xdr:col>
      <xdr:colOff>219075</xdr:colOff>
      <xdr:row>108</xdr:row>
      <xdr:rowOff>152400</xdr:rowOff>
    </xdr:to>
    <xdr:graphicFrame>
      <xdr:nvGraphicFramePr>
        <xdr:cNvPr id="6" name="Chart 6"/>
        <xdr:cNvGraphicFramePr/>
      </xdr:nvGraphicFramePr>
      <xdr:xfrm>
        <a:off x="25107900" y="13115925"/>
        <a:ext cx="8315325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0.077</cdr:x>
      <cdr:y>0.0495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5245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0.03725</cdr:x>
      <cdr:y>0.04825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667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</cdr:x>
      <cdr:y>0.0475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667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0.04625</cdr:x>
      <cdr:y>0.04275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333375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36</xdr:row>
      <xdr:rowOff>0</xdr:rowOff>
    </xdr:from>
    <xdr:to>
      <xdr:col>10</xdr:col>
      <xdr:colOff>704850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1362075" y="5829300"/>
        <a:ext cx="7143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66</xdr:row>
      <xdr:rowOff>9525</xdr:rowOff>
    </xdr:from>
    <xdr:to>
      <xdr:col>10</xdr:col>
      <xdr:colOff>704850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362075" y="10696575"/>
        <a:ext cx="714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66</xdr:row>
      <xdr:rowOff>0</xdr:rowOff>
    </xdr:from>
    <xdr:to>
      <xdr:col>26</xdr:col>
      <xdr:colOff>9525</xdr:colOff>
      <xdr:row>96</xdr:row>
      <xdr:rowOff>9525</xdr:rowOff>
    </xdr:to>
    <xdr:graphicFrame>
      <xdr:nvGraphicFramePr>
        <xdr:cNvPr id="3" name="Chart 4"/>
        <xdr:cNvGraphicFramePr/>
      </xdr:nvGraphicFramePr>
      <xdr:xfrm>
        <a:off x="12839700" y="10687050"/>
        <a:ext cx="71532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36</xdr:row>
      <xdr:rowOff>0</xdr:rowOff>
    </xdr:from>
    <xdr:to>
      <xdr:col>26</xdr:col>
      <xdr:colOff>9525</xdr:colOff>
      <xdr:row>64</xdr:row>
      <xdr:rowOff>123825</xdr:rowOff>
    </xdr:to>
    <xdr:graphicFrame>
      <xdr:nvGraphicFramePr>
        <xdr:cNvPr id="4" name="Chart 5"/>
        <xdr:cNvGraphicFramePr/>
      </xdr:nvGraphicFramePr>
      <xdr:xfrm>
        <a:off x="12839700" y="5829300"/>
        <a:ext cx="715327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avola\Configuraci&#243;n%20local\Archivos%20temporales%20de%20Internet\OLK4\merc%20de%20car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EMANIA"/>
      <sheetName val="ITALIA"/>
      <sheetName val="REINO UNIDO"/>
      <sheetName val="PAISES BAJOS"/>
      <sheetName val="ESPAÑA"/>
      <sheetName val="FRANCIA"/>
      <sheetName val="RUSIA"/>
      <sheetName val="EGIPTO"/>
      <sheetName val="ARGELIA"/>
      <sheetName val="EAU"/>
      <sheetName val="ARABIA"/>
      <sheetName val="ISRAEL"/>
      <sheetName val="MALASIA"/>
      <sheetName val="HONG KONG"/>
      <sheetName val="CHINA"/>
      <sheetName val="TAIWAN"/>
      <sheetName val="COREA S."/>
      <sheetName val="JAPÓN"/>
      <sheetName val="SUDÁFRICA"/>
      <sheetName val="EE.UU."/>
      <sheetName val="MÉXICO"/>
      <sheetName val="CHILE"/>
    </sheetNames>
    <sheetDataSet>
      <sheetData sheetId="5">
        <row r="4">
          <cell r="A4" t="str">
            <v>EU - 15</v>
          </cell>
          <cell r="N4">
            <v>87335</v>
          </cell>
          <cell r="P4" t="str">
            <v>EU - 15</v>
          </cell>
          <cell r="AC4">
            <v>41901</v>
          </cell>
        </row>
        <row r="5">
          <cell r="A5" t="str">
            <v>EU - 10 NMS</v>
          </cell>
          <cell r="N5">
            <v>924</v>
          </cell>
          <cell r="P5" t="str">
            <v>EU - 10 NMS</v>
          </cell>
          <cell r="AC5">
            <v>154</v>
          </cell>
        </row>
        <row r="7">
          <cell r="A7" t="str">
            <v>Africa del Sur</v>
          </cell>
          <cell r="N7">
            <v>650</v>
          </cell>
          <cell r="P7" t="str">
            <v>Africa del Sur</v>
          </cell>
          <cell r="AC7">
            <v>283</v>
          </cell>
        </row>
        <row r="8">
          <cell r="A8" t="str">
            <v>Estados Unidos</v>
          </cell>
          <cell r="N8">
            <v>9</v>
          </cell>
        </row>
        <row r="9">
          <cell r="A9" t="str">
            <v>Canadá</v>
          </cell>
          <cell r="N9">
            <v>542</v>
          </cell>
          <cell r="P9" t="str">
            <v>Canadá</v>
          </cell>
          <cell r="AC9">
            <v>257</v>
          </cell>
        </row>
        <row r="11">
          <cell r="A11" t="str">
            <v>Brasil</v>
          </cell>
          <cell r="N11">
            <v>2291</v>
          </cell>
          <cell r="P11" t="str">
            <v>Brasil</v>
          </cell>
          <cell r="AC11">
            <v>651</v>
          </cell>
        </row>
        <row r="13">
          <cell r="A13" t="str">
            <v>Uruguay</v>
          </cell>
          <cell r="N13">
            <v>331</v>
          </cell>
          <cell r="P13" t="str">
            <v>Uruguay</v>
          </cell>
          <cell r="AC13">
            <v>461</v>
          </cell>
        </row>
        <row r="14">
          <cell r="A14" t="str">
            <v>Argentina</v>
          </cell>
          <cell r="N14">
            <v>321</v>
          </cell>
          <cell r="P14" t="str">
            <v>Argentina</v>
          </cell>
          <cell r="AC14">
            <v>1756</v>
          </cell>
        </row>
        <row r="15">
          <cell r="A15" t="str">
            <v>Australia</v>
          </cell>
          <cell r="N15">
            <v>3</v>
          </cell>
        </row>
        <row r="16">
          <cell r="A16" t="str">
            <v>Nueva Zelanda</v>
          </cell>
          <cell r="N16">
            <v>104</v>
          </cell>
          <cell r="P16" t="str">
            <v>Nueva Zelanda</v>
          </cell>
          <cell r="AC16">
            <v>42</v>
          </cell>
        </row>
        <row r="17">
          <cell r="A17" t="str">
            <v>Otros - Irán/Malí</v>
          </cell>
          <cell r="N17">
            <v>266</v>
          </cell>
          <cell r="P17" t="str">
            <v>Otros - Irán</v>
          </cell>
          <cell r="AC17">
            <v>5</v>
          </cell>
        </row>
        <row r="44">
          <cell r="A44" t="str">
            <v>EU - 15</v>
          </cell>
          <cell r="N44">
            <v>5736.702112555104</v>
          </cell>
          <cell r="P44" t="str">
            <v>EU - 15</v>
          </cell>
          <cell r="AC44">
            <v>2871.776616309873</v>
          </cell>
        </row>
        <row r="45">
          <cell r="A45" t="str">
            <v>EU - 10 NMS</v>
          </cell>
          <cell r="N45">
            <v>2732.340909090909</v>
          </cell>
          <cell r="P45" t="str">
            <v>EU - 10 NMS</v>
          </cell>
          <cell r="AC45">
            <v>2790.9220779220777</v>
          </cell>
        </row>
        <row r="47">
          <cell r="A47" t="str">
            <v>Africa del Sur</v>
          </cell>
          <cell r="N47">
            <v>9237.224615384615</v>
          </cell>
          <cell r="P47" t="str">
            <v>Africa del Sur</v>
          </cell>
          <cell r="AC47">
            <v>2774.6395759717316</v>
          </cell>
        </row>
        <row r="48">
          <cell r="A48" t="str">
            <v>Estados Unidos</v>
          </cell>
          <cell r="N48">
            <v>8722.222222222223</v>
          </cell>
        </row>
        <row r="49">
          <cell r="A49" t="str">
            <v>Canadá</v>
          </cell>
          <cell r="N49">
            <v>7831.512915129151</v>
          </cell>
          <cell r="P49" t="str">
            <v>Canadá</v>
          </cell>
          <cell r="AC49">
            <v>4902.688715953307</v>
          </cell>
        </row>
        <row r="51">
          <cell r="A51" t="str">
            <v>Brasil</v>
          </cell>
          <cell r="N51">
            <v>5285.419903972064</v>
          </cell>
          <cell r="P51" t="str">
            <v>Brasil</v>
          </cell>
          <cell r="AC51">
            <v>3357.7296466973885</v>
          </cell>
        </row>
        <row r="53">
          <cell r="A53" t="str">
            <v>Uruguay</v>
          </cell>
          <cell r="N53">
            <v>5961.589123867069</v>
          </cell>
          <cell r="P53" t="str">
            <v>Uruguay</v>
          </cell>
          <cell r="AC53">
            <v>4082.1713665943603</v>
          </cell>
        </row>
        <row r="54">
          <cell r="A54" t="str">
            <v>Argentina</v>
          </cell>
          <cell r="N54">
            <v>7291.1246105919</v>
          </cell>
          <cell r="P54" t="str">
            <v>Argentina</v>
          </cell>
          <cell r="AC54">
            <v>4715.526765375855</v>
          </cell>
        </row>
        <row r="55">
          <cell r="A55" t="str">
            <v>Australia</v>
          </cell>
          <cell r="N55">
            <v>36320.666666666664</v>
          </cell>
        </row>
        <row r="56">
          <cell r="A56" t="str">
            <v>Nueva Zelanda</v>
          </cell>
          <cell r="N56">
            <v>6745.596153846154</v>
          </cell>
          <cell r="P56" t="str">
            <v>Nueva Zelanda</v>
          </cell>
          <cell r="AC56">
            <v>8670.690476190477</v>
          </cell>
        </row>
        <row r="57">
          <cell r="A57" t="str">
            <v>Otros - Irán/Malí</v>
          </cell>
          <cell r="N57">
            <v>7269.387218045113</v>
          </cell>
          <cell r="P57" t="str">
            <v>Otros - Irán</v>
          </cell>
          <cell r="AC57">
            <v>1925.8</v>
          </cell>
        </row>
      </sheetData>
      <sheetData sheetId="6">
        <row r="4">
          <cell r="A4" t="str">
            <v>EU - 15</v>
          </cell>
          <cell r="N4">
            <v>15457</v>
          </cell>
          <cell r="P4" t="str">
            <v>EU - 15</v>
          </cell>
          <cell r="AC4">
            <v>63962</v>
          </cell>
        </row>
        <row r="5">
          <cell r="A5" t="str">
            <v>EU - 10 NMS</v>
          </cell>
          <cell r="N5">
            <v>8349</v>
          </cell>
          <cell r="P5" t="str">
            <v>EU - 10 NMS</v>
          </cell>
          <cell r="AC5">
            <v>736</v>
          </cell>
        </row>
        <row r="6">
          <cell r="P6" t="str">
            <v>Otros Europa</v>
          </cell>
          <cell r="AC6">
            <v>21</v>
          </cell>
        </row>
        <row r="8">
          <cell r="A8" t="str">
            <v>Estados Unidos</v>
          </cell>
          <cell r="N8">
            <v>51</v>
          </cell>
          <cell r="P8" t="str">
            <v>Estados Unidos</v>
          </cell>
          <cell r="AC8">
            <v>317</v>
          </cell>
        </row>
        <row r="11">
          <cell r="A11" t="str">
            <v>Brasil</v>
          </cell>
          <cell r="N11">
            <v>333</v>
          </cell>
          <cell r="P11" t="str">
            <v>Brasil</v>
          </cell>
          <cell r="AC11">
            <v>294319</v>
          </cell>
        </row>
        <row r="14">
          <cell r="A14" t="str">
            <v>Argentina</v>
          </cell>
          <cell r="N14">
            <v>163</v>
          </cell>
          <cell r="P14" t="str">
            <v>Argentina</v>
          </cell>
          <cell r="AC14">
            <v>192380</v>
          </cell>
        </row>
        <row r="15">
          <cell r="A15" t="str">
            <v>Australia</v>
          </cell>
          <cell r="N15">
            <v>351</v>
          </cell>
          <cell r="P15" t="str">
            <v>Australia</v>
          </cell>
          <cell r="AC15">
            <v>898</v>
          </cell>
        </row>
        <row r="16">
          <cell r="P16" t="str">
            <v>Nueva Zelanda</v>
          </cell>
          <cell r="AC16">
            <v>8</v>
          </cell>
        </row>
        <row r="44">
          <cell r="A44" t="str">
            <v>EU - 15</v>
          </cell>
          <cell r="N44">
            <v>5194.908067542214</v>
          </cell>
          <cell r="P44" t="str">
            <v>EU - 15</v>
          </cell>
          <cell r="AC44">
            <v>2003.1428504424503</v>
          </cell>
        </row>
        <row r="45">
          <cell r="A45" t="str">
            <v>EU - 10 NMS</v>
          </cell>
          <cell r="N45">
            <v>2116.702838663313</v>
          </cell>
          <cell r="P45" t="str">
            <v>EU - 10 NMS</v>
          </cell>
          <cell r="AC45">
            <v>1294</v>
          </cell>
        </row>
        <row r="46">
          <cell r="A46" t="str">
            <v>Otros Europa</v>
          </cell>
          <cell r="P46" t="str">
            <v>Otros Europa</v>
          </cell>
          <cell r="AC46">
            <v>2371.285714285714</v>
          </cell>
        </row>
        <row r="48">
          <cell r="A48" t="str">
            <v>Estados Unidos</v>
          </cell>
          <cell r="N48">
            <v>2294.549019607843</v>
          </cell>
          <cell r="P48" t="str">
            <v>Estados Unidos</v>
          </cell>
          <cell r="AC48">
            <v>1423.9842271293376</v>
          </cell>
        </row>
        <row r="51">
          <cell r="A51" t="str">
            <v>Brasil</v>
          </cell>
          <cell r="N51">
            <v>2189.891891891892</v>
          </cell>
          <cell r="P51" t="str">
            <v>Brasil</v>
          </cell>
          <cell r="AC51">
            <v>1884.1581549271368</v>
          </cell>
        </row>
        <row r="54">
          <cell r="A54" t="str">
            <v>Argentina</v>
          </cell>
          <cell r="N54">
            <v>7939.748466257669</v>
          </cell>
          <cell r="P54" t="str">
            <v>Argentina</v>
          </cell>
          <cell r="AC54">
            <v>1775.2041168520636</v>
          </cell>
        </row>
        <row r="55">
          <cell r="A55" t="str">
            <v>Australia</v>
          </cell>
          <cell r="N55">
            <v>10572.361823361824</v>
          </cell>
          <cell r="P55" t="str">
            <v>Australia</v>
          </cell>
          <cell r="AC55">
            <v>4946.720489977728</v>
          </cell>
        </row>
        <row r="56">
          <cell r="A56" t="str">
            <v>Nueva Zelanda</v>
          </cell>
          <cell r="N56">
            <v>11210</v>
          </cell>
          <cell r="P56" t="str">
            <v>Nueva Zelanda</v>
          </cell>
          <cell r="AC56">
            <v>8720.125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8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0.57421875" style="0" bestFit="1" customWidth="1"/>
    <col min="2" max="9" width="10.7109375" style="0" customWidth="1"/>
    <col min="10" max="10" width="12.140625" style="0" customWidth="1"/>
    <col min="11" max="11" width="10.7109375" style="0" bestFit="1" customWidth="1"/>
    <col min="1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22</v>
      </c>
      <c r="P1" t="s">
        <v>34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49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49" t="s">
        <v>25</v>
      </c>
    </row>
    <row r="4" spans="1:29" ht="12.75">
      <c r="A4" s="3" t="s">
        <v>9</v>
      </c>
      <c r="B4" s="7">
        <f>872+1750+60+4+11+129+62+203+42+250</f>
        <v>3383</v>
      </c>
      <c r="C4" s="7">
        <f>486+1493+20+14+38+34+100+176+1+133</f>
        <v>2495</v>
      </c>
      <c r="D4" s="7">
        <f>854+1404+206+1+5+86+93+111+71+189</f>
        <v>3020</v>
      </c>
      <c r="E4" s="7">
        <f>369+1092+93+7+25+73+66+386+1+128</f>
        <v>2240</v>
      </c>
      <c r="F4" s="7">
        <f>837+1917+176+6+12+104+26+208+71+3+150</f>
        <v>3510</v>
      </c>
      <c r="G4" s="7">
        <f>462+1671+267+5+3+85+101+146+1+5+104</f>
        <v>2850</v>
      </c>
      <c r="H4" s="7">
        <f>482+999+240+8+33+137+165+58+172</f>
        <v>2294</v>
      </c>
      <c r="I4" s="7">
        <f>682+1776+278+1+20+80+74+357+5+1+76</f>
        <v>3350</v>
      </c>
      <c r="J4" s="7">
        <v>3202</v>
      </c>
      <c r="K4" s="7">
        <v>3604</v>
      </c>
      <c r="L4" s="7">
        <v>2488</v>
      </c>
      <c r="M4" s="67">
        <v>3966</v>
      </c>
      <c r="N4" s="7">
        <f>SUM(B4:M4)</f>
        <v>36402</v>
      </c>
      <c r="P4" s="3" t="s">
        <v>9</v>
      </c>
      <c r="Q4" s="7">
        <f>40+110+77+13+12+1+36+20+133</f>
        <v>442</v>
      </c>
      <c r="R4" s="7">
        <f>29+634+529+11+304+32+92+180+111</f>
        <v>1922</v>
      </c>
      <c r="S4" s="7">
        <f>48+606+61+1+57+7+131+3+185</f>
        <v>1099</v>
      </c>
      <c r="T4" s="7">
        <f>10+656+457+1+36+7+109+78+150</f>
        <v>1504</v>
      </c>
      <c r="U4" s="7">
        <f>53+508+90+5+63+29+78+167+20+148</f>
        <v>1161</v>
      </c>
      <c r="V4" s="7">
        <f>63+122+43+1+104+5+41+34+226</f>
        <v>639</v>
      </c>
      <c r="W4" s="7">
        <f>80+458+8+1+101+28+1+14+2+297</f>
        <v>990</v>
      </c>
      <c r="X4" s="7">
        <f>63+229+82+16+61+40+115+9+75</f>
        <v>690</v>
      </c>
      <c r="Y4" s="7">
        <v>1946</v>
      </c>
      <c r="Z4" s="7">
        <v>1114</v>
      </c>
      <c r="AA4" s="7">
        <v>2133</v>
      </c>
      <c r="AB4" s="67">
        <v>970</v>
      </c>
      <c r="AC4" s="7">
        <f>SUM(Q4:AB4)</f>
        <v>14610</v>
      </c>
    </row>
    <row r="5" spans="1:29" ht="12.75">
      <c r="A5" s="4" t="s">
        <v>27</v>
      </c>
      <c r="B5" s="8">
        <f>4</f>
        <v>4</v>
      </c>
      <c r="C5" s="8">
        <v>87</v>
      </c>
      <c r="D5" s="8">
        <f>78+1</f>
        <v>79</v>
      </c>
      <c r="E5" s="8">
        <f>21+1+2</f>
        <v>24</v>
      </c>
      <c r="F5" s="8">
        <v>34</v>
      </c>
      <c r="G5" s="8">
        <v>1</v>
      </c>
      <c r="H5" s="8">
        <v>449</v>
      </c>
      <c r="I5" s="8">
        <f>18+2</f>
        <v>20</v>
      </c>
      <c r="J5" s="8">
        <v>146</v>
      </c>
      <c r="K5" s="8">
        <v>95</v>
      </c>
      <c r="L5" s="8">
        <v>10</v>
      </c>
      <c r="M5" s="47">
        <v>52</v>
      </c>
      <c r="N5" s="8">
        <f aca="true" t="shared" si="0" ref="N5:N16">SUM(B5:M5)</f>
        <v>1001</v>
      </c>
      <c r="P5" s="4" t="s">
        <v>27</v>
      </c>
      <c r="Q5" s="8">
        <v>20</v>
      </c>
      <c r="R5" s="8">
        <f>21+46</f>
        <v>67</v>
      </c>
      <c r="S5" s="8">
        <v>25</v>
      </c>
      <c r="T5" s="8">
        <f>14</f>
        <v>14</v>
      </c>
      <c r="U5" s="8">
        <f>1</f>
        <v>1</v>
      </c>
      <c r="V5" s="8">
        <f>1+1</f>
        <v>2</v>
      </c>
      <c r="W5" s="8">
        <v>18</v>
      </c>
      <c r="X5" s="8">
        <f>14+54</f>
        <v>68</v>
      </c>
      <c r="Y5" s="8">
        <v>21</v>
      </c>
      <c r="Z5" s="8">
        <v>57</v>
      </c>
      <c r="AA5" s="8"/>
      <c r="AB5" s="47">
        <v>123</v>
      </c>
      <c r="AC5" s="8">
        <f aca="true" t="shared" si="1" ref="AC5:AC18">SUM(Q5:AB5)</f>
        <v>416</v>
      </c>
    </row>
    <row r="6" spans="1:29" ht="12.75">
      <c r="A6" s="4" t="s">
        <v>10</v>
      </c>
      <c r="B6" s="8"/>
      <c r="C6" s="8">
        <v>9</v>
      </c>
      <c r="D6" s="8"/>
      <c r="E6" s="8">
        <v>12</v>
      </c>
      <c r="F6" s="8">
        <v>2</v>
      </c>
      <c r="G6" s="8">
        <v>24</v>
      </c>
      <c r="H6" s="8"/>
      <c r="I6" s="8"/>
      <c r="J6" s="8">
        <v>15</v>
      </c>
      <c r="K6" s="8">
        <v>0</v>
      </c>
      <c r="L6" s="8">
        <v>0</v>
      </c>
      <c r="M6" s="47">
        <v>2</v>
      </c>
      <c r="N6" s="8">
        <f t="shared" si="0"/>
        <v>64</v>
      </c>
      <c r="P6" s="4" t="s">
        <v>10</v>
      </c>
      <c r="Q6" s="8"/>
      <c r="R6" s="8"/>
      <c r="S6" s="8"/>
      <c r="T6" s="8"/>
      <c r="U6" s="8"/>
      <c r="V6" s="8">
        <v>39</v>
      </c>
      <c r="W6" s="8">
        <v>24</v>
      </c>
      <c r="X6" s="8"/>
      <c r="Y6" s="8"/>
      <c r="Z6" s="8"/>
      <c r="AA6" s="8">
        <v>1</v>
      </c>
      <c r="AB6" s="47">
        <v>40</v>
      </c>
      <c r="AC6" s="8">
        <f t="shared" si="1"/>
        <v>104</v>
      </c>
    </row>
    <row r="7" spans="1:29" ht="12.75">
      <c r="A7" s="4" t="s">
        <v>33</v>
      </c>
      <c r="B7" s="8">
        <f>12+4</f>
        <v>16</v>
      </c>
      <c r="C7" s="8">
        <v>45</v>
      </c>
      <c r="D7" s="8">
        <f>14+57</f>
        <v>71</v>
      </c>
      <c r="E7" s="8">
        <f>31+61</f>
        <v>92</v>
      </c>
      <c r="F7" s="8">
        <f>12+38+21</f>
        <v>71</v>
      </c>
      <c r="G7" s="8"/>
      <c r="H7" s="8">
        <f>84+70</f>
        <v>154</v>
      </c>
      <c r="I7" s="8">
        <f>70+74</f>
        <v>144</v>
      </c>
      <c r="J7" s="8">
        <v>404</v>
      </c>
      <c r="K7" s="8">
        <v>95</v>
      </c>
      <c r="L7" s="8">
        <v>153</v>
      </c>
      <c r="M7" s="47">
        <v>39</v>
      </c>
      <c r="N7" s="8">
        <f t="shared" si="0"/>
        <v>1284</v>
      </c>
      <c r="P7" s="4" t="s">
        <v>33</v>
      </c>
      <c r="Q7" s="8"/>
      <c r="R7" s="8">
        <f>44+19</f>
        <v>63</v>
      </c>
      <c r="S7" s="8">
        <v>138</v>
      </c>
      <c r="T7" s="8">
        <f>86+126</f>
        <v>212</v>
      </c>
      <c r="U7" s="8">
        <f>192+107</f>
        <v>299</v>
      </c>
      <c r="V7" s="8">
        <v>43</v>
      </c>
      <c r="W7" s="8">
        <f>578+107</f>
        <v>685</v>
      </c>
      <c r="X7" s="8">
        <f>372+208</f>
        <v>580</v>
      </c>
      <c r="Y7" s="8">
        <v>432</v>
      </c>
      <c r="Z7" s="8">
        <v>193</v>
      </c>
      <c r="AA7" s="8">
        <v>167</v>
      </c>
      <c r="AB7" s="47">
        <v>21</v>
      </c>
      <c r="AC7" s="8">
        <f t="shared" si="1"/>
        <v>2833</v>
      </c>
    </row>
    <row r="8" spans="1:29" ht="12.75">
      <c r="A8" s="4" t="s">
        <v>11</v>
      </c>
      <c r="B8" s="8"/>
      <c r="C8" s="8"/>
      <c r="D8" s="8"/>
      <c r="E8" s="8"/>
      <c r="F8" s="8">
        <v>23</v>
      </c>
      <c r="G8" s="8"/>
      <c r="H8" s="8"/>
      <c r="I8" s="8"/>
      <c r="J8" s="8"/>
      <c r="K8" s="8"/>
      <c r="L8" s="8">
        <v>3</v>
      </c>
      <c r="M8" s="47"/>
      <c r="N8" s="8">
        <f t="shared" si="0"/>
        <v>26</v>
      </c>
      <c r="P8" s="4" t="s">
        <v>11</v>
      </c>
      <c r="Q8" s="8"/>
      <c r="R8" s="8"/>
      <c r="S8" s="8">
        <v>1</v>
      </c>
      <c r="T8" s="8">
        <v>1</v>
      </c>
      <c r="U8" s="8"/>
      <c r="V8" s="8"/>
      <c r="W8" s="8"/>
      <c r="X8" s="8">
        <v>1</v>
      </c>
      <c r="Y8" s="8">
        <v>1</v>
      </c>
      <c r="Z8" s="8"/>
      <c r="AA8" s="8">
        <v>3</v>
      </c>
      <c r="AB8" s="47"/>
      <c r="AC8" s="8">
        <f t="shared" si="1"/>
        <v>7</v>
      </c>
    </row>
    <row r="9" spans="1:29" ht="12.75">
      <c r="A9" s="4" t="s">
        <v>12</v>
      </c>
      <c r="B9" s="8">
        <v>23</v>
      </c>
      <c r="C9" s="8">
        <v>5</v>
      </c>
      <c r="D9" s="8">
        <v>10</v>
      </c>
      <c r="E9" s="8">
        <v>6</v>
      </c>
      <c r="F9" s="8">
        <v>31</v>
      </c>
      <c r="G9" s="8">
        <v>8</v>
      </c>
      <c r="H9" s="8">
        <v>7</v>
      </c>
      <c r="I9" s="8">
        <v>12</v>
      </c>
      <c r="J9" s="8">
        <v>11</v>
      </c>
      <c r="K9" s="8">
        <v>8</v>
      </c>
      <c r="L9" s="8">
        <v>15</v>
      </c>
      <c r="M9" s="47">
        <v>27</v>
      </c>
      <c r="N9" s="8">
        <f t="shared" si="0"/>
        <v>163</v>
      </c>
      <c r="P9" s="4" t="s">
        <v>12</v>
      </c>
      <c r="Q9" s="8"/>
      <c r="R9" s="8"/>
      <c r="S9" s="8"/>
      <c r="T9" s="8"/>
      <c r="U9" s="8">
        <v>19</v>
      </c>
      <c r="V9" s="8"/>
      <c r="W9" s="8">
        <v>17</v>
      </c>
      <c r="X9" s="8"/>
      <c r="Y9" s="8"/>
      <c r="Z9" s="8">
        <v>2</v>
      </c>
      <c r="AA9" s="8"/>
      <c r="AB9" s="47">
        <v>22</v>
      </c>
      <c r="AC9" s="8">
        <f t="shared" si="1"/>
        <v>60</v>
      </c>
    </row>
    <row r="10" spans="1:29" ht="12.75">
      <c r="A10" s="4" t="s">
        <v>13</v>
      </c>
      <c r="B10" s="8"/>
      <c r="C10" s="8"/>
      <c r="D10" s="8"/>
      <c r="E10" s="8"/>
      <c r="F10" s="8">
        <v>1</v>
      </c>
      <c r="G10" s="8"/>
      <c r="H10" s="8"/>
      <c r="I10" s="8"/>
      <c r="J10" s="8"/>
      <c r="K10" s="8"/>
      <c r="L10" s="8"/>
      <c r="M10" s="47"/>
      <c r="N10" s="8">
        <f t="shared" si="0"/>
        <v>1</v>
      </c>
      <c r="P10" s="4" t="s">
        <v>13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47"/>
      <c r="AC10" s="8"/>
    </row>
    <row r="11" spans="1:29" ht="12.75">
      <c r="A11" s="4" t="s">
        <v>14</v>
      </c>
      <c r="B11" s="8">
        <v>1005</v>
      </c>
      <c r="C11" s="8">
        <v>773</v>
      </c>
      <c r="D11" s="8">
        <v>1031</v>
      </c>
      <c r="E11" s="8">
        <v>1983</v>
      </c>
      <c r="F11" s="8">
        <v>1388</v>
      </c>
      <c r="G11" s="8">
        <v>1441</v>
      </c>
      <c r="H11" s="8">
        <v>1752</v>
      </c>
      <c r="I11" s="8">
        <v>1045</v>
      </c>
      <c r="J11" s="8">
        <v>154</v>
      </c>
      <c r="K11" s="8">
        <v>1474</v>
      </c>
      <c r="L11" s="8">
        <v>740</v>
      </c>
      <c r="M11" s="47">
        <v>675</v>
      </c>
      <c r="N11" s="8">
        <f t="shared" si="0"/>
        <v>13461</v>
      </c>
      <c r="P11" s="4" t="s">
        <v>14</v>
      </c>
      <c r="Q11" s="8">
        <v>379</v>
      </c>
      <c r="R11" s="8">
        <v>176</v>
      </c>
      <c r="S11" s="8">
        <v>284</v>
      </c>
      <c r="T11" s="8">
        <v>646</v>
      </c>
      <c r="U11" s="8">
        <v>191</v>
      </c>
      <c r="V11" s="8">
        <v>136</v>
      </c>
      <c r="W11" s="8">
        <v>230</v>
      </c>
      <c r="X11" s="8">
        <v>462</v>
      </c>
      <c r="Y11" s="8">
        <v>475</v>
      </c>
      <c r="Z11" s="8">
        <v>562</v>
      </c>
      <c r="AA11" s="8">
        <v>231</v>
      </c>
      <c r="AB11" s="47">
        <v>123</v>
      </c>
      <c r="AC11" s="8">
        <f t="shared" si="1"/>
        <v>3895</v>
      </c>
    </row>
    <row r="12" spans="1:29" ht="12.75">
      <c r="A12" s="4" t="s">
        <v>15</v>
      </c>
      <c r="B12" s="8"/>
      <c r="C12" s="8">
        <v>30</v>
      </c>
      <c r="D12" s="8">
        <v>12</v>
      </c>
      <c r="E12" s="8">
        <v>32</v>
      </c>
      <c r="F12" s="8">
        <v>63</v>
      </c>
      <c r="G12" s="8">
        <v>65</v>
      </c>
      <c r="H12" s="8">
        <v>31</v>
      </c>
      <c r="I12" s="8"/>
      <c r="J12" s="8">
        <v>48</v>
      </c>
      <c r="K12" s="8">
        <v>58</v>
      </c>
      <c r="L12" s="8">
        <v>18</v>
      </c>
      <c r="M12" s="47">
        <v>11</v>
      </c>
      <c r="N12" s="8">
        <f t="shared" si="0"/>
        <v>368</v>
      </c>
      <c r="P12" s="4" t="s">
        <v>15</v>
      </c>
      <c r="Q12" s="8"/>
      <c r="R12" s="8"/>
      <c r="S12" s="8"/>
      <c r="T12" s="8">
        <v>1</v>
      </c>
      <c r="U12" s="8"/>
      <c r="V12" s="8"/>
      <c r="W12" s="8"/>
      <c r="X12" s="8"/>
      <c r="Y12" s="8"/>
      <c r="Z12" s="8"/>
      <c r="AA12" s="8"/>
      <c r="AB12" s="47"/>
      <c r="AC12" s="8">
        <f t="shared" si="1"/>
        <v>1</v>
      </c>
    </row>
    <row r="13" spans="1:29" ht="12.75">
      <c r="A13" s="4" t="s">
        <v>16</v>
      </c>
      <c r="B13" s="8">
        <v>105</v>
      </c>
      <c r="C13" s="8">
        <v>107</v>
      </c>
      <c r="D13" s="8">
        <v>53</v>
      </c>
      <c r="E13" s="8">
        <v>202</v>
      </c>
      <c r="F13" s="8">
        <v>190</v>
      </c>
      <c r="G13" s="8">
        <v>223</v>
      </c>
      <c r="H13" s="8">
        <v>98</v>
      </c>
      <c r="I13" s="8">
        <v>44</v>
      </c>
      <c r="J13" s="8">
        <v>94</v>
      </c>
      <c r="K13" s="8">
        <v>196</v>
      </c>
      <c r="L13" s="8">
        <v>360</v>
      </c>
      <c r="M13" s="47">
        <v>228</v>
      </c>
      <c r="N13" s="8">
        <f t="shared" si="0"/>
        <v>1900</v>
      </c>
      <c r="P13" s="4" t="s">
        <v>16</v>
      </c>
      <c r="Q13" s="8">
        <v>227</v>
      </c>
      <c r="R13" s="8">
        <v>47</v>
      </c>
      <c r="S13" s="8">
        <v>45</v>
      </c>
      <c r="T13" s="8">
        <v>473</v>
      </c>
      <c r="U13" s="8">
        <v>87</v>
      </c>
      <c r="V13" s="8">
        <v>75</v>
      </c>
      <c r="W13" s="8">
        <v>224</v>
      </c>
      <c r="X13" s="8">
        <v>75</v>
      </c>
      <c r="Y13" s="8">
        <v>232</v>
      </c>
      <c r="Z13" s="8">
        <v>184</v>
      </c>
      <c r="AA13" s="8">
        <v>184</v>
      </c>
      <c r="AB13" s="47">
        <v>144</v>
      </c>
      <c r="AC13" s="8">
        <f t="shared" si="1"/>
        <v>1997</v>
      </c>
    </row>
    <row r="14" spans="1:29" ht="12.75">
      <c r="A14" s="4" t="s">
        <v>17</v>
      </c>
      <c r="B14" s="8">
        <v>2242</v>
      </c>
      <c r="C14" s="8">
        <v>1647</v>
      </c>
      <c r="D14" s="8">
        <v>2104</v>
      </c>
      <c r="E14" s="8">
        <v>3396</v>
      </c>
      <c r="F14" s="8">
        <v>2036</v>
      </c>
      <c r="G14" s="8">
        <v>3824</v>
      </c>
      <c r="H14" s="8">
        <v>2637</v>
      </c>
      <c r="I14" s="8">
        <v>1537</v>
      </c>
      <c r="J14" s="8">
        <v>2961</v>
      </c>
      <c r="K14" s="8">
        <v>3012</v>
      </c>
      <c r="L14" s="8">
        <v>3467</v>
      </c>
      <c r="M14" s="47">
        <v>2624</v>
      </c>
      <c r="N14" s="8">
        <f t="shared" si="0"/>
        <v>31487</v>
      </c>
      <c r="P14" s="4" t="s">
        <v>17</v>
      </c>
      <c r="Q14" s="8">
        <v>267</v>
      </c>
      <c r="R14" s="8">
        <v>262</v>
      </c>
      <c r="S14" s="8">
        <v>142</v>
      </c>
      <c r="T14" s="8">
        <v>299</v>
      </c>
      <c r="U14" s="8">
        <v>129</v>
      </c>
      <c r="V14" s="8">
        <v>155</v>
      </c>
      <c r="W14" s="8">
        <v>220</v>
      </c>
      <c r="X14" s="8">
        <v>154</v>
      </c>
      <c r="Y14" s="8">
        <v>249</v>
      </c>
      <c r="Z14" s="8">
        <v>196</v>
      </c>
      <c r="AA14" s="8">
        <v>271</v>
      </c>
      <c r="AB14" s="47">
        <v>117</v>
      </c>
      <c r="AC14" s="8">
        <f t="shared" si="1"/>
        <v>2461</v>
      </c>
    </row>
    <row r="15" spans="1:29" ht="12.75">
      <c r="A15" s="4" t="s">
        <v>18</v>
      </c>
      <c r="B15" s="8"/>
      <c r="C15" s="8">
        <v>1.45</v>
      </c>
      <c r="D15" s="8">
        <v>1</v>
      </c>
      <c r="E15" s="8">
        <v>1</v>
      </c>
      <c r="F15" s="8">
        <v>11</v>
      </c>
      <c r="G15" s="8"/>
      <c r="H15" s="8">
        <v>11</v>
      </c>
      <c r="I15" s="8">
        <v>1</v>
      </c>
      <c r="J15" s="8">
        <v>7</v>
      </c>
      <c r="K15" s="8">
        <v>0</v>
      </c>
      <c r="L15" s="8">
        <v>5</v>
      </c>
      <c r="M15" s="47">
        <v>6</v>
      </c>
      <c r="N15" s="8">
        <f t="shared" si="0"/>
        <v>44.45</v>
      </c>
      <c r="P15" s="4" t="s">
        <v>18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47"/>
      <c r="AC15" s="8"/>
    </row>
    <row r="16" spans="1:29" ht="12.75">
      <c r="A16" s="4" t="s">
        <v>19</v>
      </c>
      <c r="B16" s="8">
        <v>4.4</v>
      </c>
      <c r="C16" s="8">
        <v>1</v>
      </c>
      <c r="D16" s="8">
        <v>2</v>
      </c>
      <c r="E16" s="8">
        <v>3</v>
      </c>
      <c r="F16" s="8">
        <v>2</v>
      </c>
      <c r="G16" s="8">
        <v>2</v>
      </c>
      <c r="H16" s="8">
        <v>1</v>
      </c>
      <c r="I16" s="8">
        <v>2</v>
      </c>
      <c r="J16" s="8">
        <v>2</v>
      </c>
      <c r="K16" s="8">
        <v>2</v>
      </c>
      <c r="L16" s="8">
        <v>14</v>
      </c>
      <c r="M16" s="47">
        <v>5</v>
      </c>
      <c r="N16" s="8">
        <f t="shared" si="0"/>
        <v>40.4</v>
      </c>
      <c r="P16" s="4" t="s">
        <v>19</v>
      </c>
      <c r="Q16" s="8"/>
      <c r="R16" s="8"/>
      <c r="S16" s="8"/>
      <c r="T16" s="8">
        <v>14</v>
      </c>
      <c r="U16" s="8">
        <v>25</v>
      </c>
      <c r="V16" s="8">
        <v>1</v>
      </c>
      <c r="W16" s="8">
        <v>1</v>
      </c>
      <c r="X16" s="8"/>
      <c r="Y16" s="8">
        <v>2</v>
      </c>
      <c r="Z16" s="8">
        <v>15</v>
      </c>
      <c r="AA16" s="8">
        <v>10</v>
      </c>
      <c r="AB16" s="47"/>
      <c r="AC16" s="8">
        <f t="shared" si="1"/>
        <v>68</v>
      </c>
    </row>
    <row r="17" spans="1:29" ht="12.75">
      <c r="A17" s="11" t="s">
        <v>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/>
      <c r="O17" s="68"/>
      <c r="P17" s="11" t="s">
        <v>35</v>
      </c>
      <c r="Q17" s="12"/>
      <c r="R17" s="12">
        <v>3</v>
      </c>
      <c r="S17" s="12"/>
      <c r="T17" s="12"/>
      <c r="U17" s="12"/>
      <c r="V17" s="12">
        <v>28</v>
      </c>
      <c r="W17" s="12">
        <v>14</v>
      </c>
      <c r="X17" s="12"/>
      <c r="Y17" s="12"/>
      <c r="Z17" s="12">
        <v>2</v>
      </c>
      <c r="AA17" s="12"/>
      <c r="AB17" s="12"/>
      <c r="AC17" s="9">
        <f t="shared" si="1"/>
        <v>47</v>
      </c>
    </row>
    <row r="18" spans="1:29" ht="12.75">
      <c r="A18" s="1" t="s">
        <v>20</v>
      </c>
      <c r="B18" s="10">
        <f>SUM(B4:B17)</f>
        <v>6782.4</v>
      </c>
      <c r="C18" s="10">
        <f aca="true" t="shared" si="2" ref="C18:M18">SUM(C4:C17)</f>
        <v>5200.45</v>
      </c>
      <c r="D18" s="10">
        <f t="shared" si="2"/>
        <v>6383</v>
      </c>
      <c r="E18" s="10">
        <f t="shared" si="2"/>
        <v>7991</v>
      </c>
      <c r="F18" s="10">
        <f t="shared" si="2"/>
        <v>7362</v>
      </c>
      <c r="G18" s="10">
        <f t="shared" si="2"/>
        <v>8438</v>
      </c>
      <c r="H18" s="10">
        <f t="shared" si="2"/>
        <v>7434</v>
      </c>
      <c r="I18" s="10">
        <f t="shared" si="2"/>
        <v>6155</v>
      </c>
      <c r="J18" s="10">
        <f t="shared" si="2"/>
        <v>7044</v>
      </c>
      <c r="K18" s="10">
        <f t="shared" si="2"/>
        <v>8544</v>
      </c>
      <c r="L18" s="10">
        <f t="shared" si="2"/>
        <v>7273</v>
      </c>
      <c r="M18" s="48">
        <f t="shared" si="2"/>
        <v>7635</v>
      </c>
      <c r="N18" s="9">
        <f>SUM(B18:M18)</f>
        <v>86241.85</v>
      </c>
      <c r="P18" s="1" t="s">
        <v>20</v>
      </c>
      <c r="Q18" s="10">
        <f>SUM(Q4:Q17)</f>
        <v>1335</v>
      </c>
      <c r="R18" s="10">
        <f aca="true" t="shared" si="3" ref="R18:AB18">SUM(R4:R17)</f>
        <v>2540</v>
      </c>
      <c r="S18" s="10">
        <f t="shared" si="3"/>
        <v>1734</v>
      </c>
      <c r="T18" s="10">
        <f t="shared" si="3"/>
        <v>3164</v>
      </c>
      <c r="U18" s="10">
        <f t="shared" si="3"/>
        <v>1912</v>
      </c>
      <c r="V18" s="10">
        <f t="shared" si="3"/>
        <v>1118</v>
      </c>
      <c r="W18" s="10">
        <f t="shared" si="3"/>
        <v>2423</v>
      </c>
      <c r="X18" s="10">
        <f t="shared" si="3"/>
        <v>2030</v>
      </c>
      <c r="Y18" s="10">
        <f t="shared" si="3"/>
        <v>3358</v>
      </c>
      <c r="Z18" s="10">
        <f t="shared" si="3"/>
        <v>2325</v>
      </c>
      <c r="AA18" s="10">
        <f t="shared" si="3"/>
        <v>3000</v>
      </c>
      <c r="AB18" s="48">
        <f t="shared" si="3"/>
        <v>1560</v>
      </c>
      <c r="AC18" s="10">
        <f t="shared" si="1"/>
        <v>26499</v>
      </c>
    </row>
    <row r="19" spans="1:16" ht="12.75">
      <c r="A19" s="5" t="s">
        <v>24</v>
      </c>
      <c r="P19" s="5" t="s">
        <v>24</v>
      </c>
    </row>
    <row r="21" spans="1:16" ht="12.75">
      <c r="A21" t="s">
        <v>22</v>
      </c>
      <c r="P21" t="s">
        <v>34</v>
      </c>
    </row>
    <row r="22" spans="1:16" ht="12.75">
      <c r="A22" t="s">
        <v>31</v>
      </c>
      <c r="P22" t="s">
        <v>31</v>
      </c>
    </row>
    <row r="23" spans="1:29" ht="12.75">
      <c r="A23" s="1" t="s">
        <v>21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28</v>
      </c>
      <c r="L23" s="2" t="s">
        <v>29</v>
      </c>
      <c r="M23" s="2" t="s">
        <v>30</v>
      </c>
      <c r="N23" s="49" t="s">
        <v>25</v>
      </c>
      <c r="P23" s="1" t="s">
        <v>21</v>
      </c>
      <c r="Q23" s="2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2" t="s">
        <v>6</v>
      </c>
      <c r="X23" s="2" t="s">
        <v>7</v>
      </c>
      <c r="Y23" s="2" t="s">
        <v>8</v>
      </c>
      <c r="Z23" s="2" t="s">
        <v>28</v>
      </c>
      <c r="AA23" s="2" t="s">
        <v>29</v>
      </c>
      <c r="AB23" s="2" t="s">
        <v>30</v>
      </c>
      <c r="AC23" s="49" t="s">
        <v>25</v>
      </c>
    </row>
    <row r="24" spans="1:29" ht="12.75">
      <c r="A24" s="3" t="s">
        <v>9</v>
      </c>
      <c r="B24" s="7">
        <f>5483472+10551886+192471+56301+116530+693945+150573+836662+112602+1034370</f>
        <v>19228812</v>
      </c>
      <c r="C24" s="7">
        <f>2605679+8819222+59871+106726+236880+329289+230372+767907+16920+402175</f>
        <v>13575041</v>
      </c>
      <c r="D24" s="7">
        <f>5682443+9730573+1458595+13212+75308+521870+1321+268202+459775+216675+622281</f>
        <v>19050255</v>
      </c>
      <c r="E24" s="7">
        <f>2324062+6195774+729828+77641+254922+421851+251040+1803866+2588+441261</f>
        <v>12502833</v>
      </c>
      <c r="F24" s="7">
        <f>5199420+12133249+1351240+69782+86276+573484+65976+1131743+187778+29182+515121</f>
        <v>21343251</v>
      </c>
      <c r="G24" s="7">
        <f>2702777+9202572+1885743+58360+42554+442560+328272+554416+3647+60791+337999</f>
        <v>15619691</v>
      </c>
      <c r="H24" s="7">
        <f>2751466+4644754+1606827+1204+68606+210633+329791+593383+174524+565699</f>
        <v>10946887</v>
      </c>
      <c r="I24" s="7">
        <f>4150057+9657643+2087940+11067+220107+413161+1230+408243+1624363+4919+3689+285278</f>
        <v>18867697</v>
      </c>
      <c r="J24" s="7">
        <v>18199817</v>
      </c>
      <c r="K24" s="7">
        <v>19692029</v>
      </c>
      <c r="L24" s="7">
        <v>20759953</v>
      </c>
      <c r="M24" s="67">
        <v>24182350</v>
      </c>
      <c r="N24" s="7">
        <f>SUM(B24:M24)</f>
        <v>213968616</v>
      </c>
      <c r="P24" s="3" t="s">
        <v>9</v>
      </c>
      <c r="Q24" s="7">
        <f>205565+635025+278887+70704+2619+36661+7856+136170+78560+597054</f>
        <v>2049101</v>
      </c>
      <c r="R24" s="7">
        <f>108028+1986147+1797424+54665+976154+58569+471157+855110+424301</f>
        <v>6731555</v>
      </c>
      <c r="S24" s="7">
        <f>203463+2474591+268202+26424+211391+15854+486198+11891+593215</f>
        <v>4291229</v>
      </c>
      <c r="T24" s="7">
        <f>54349+2494873+1488124+14234+143636+29762+385618+289861+520197</f>
        <v>5420654</v>
      </c>
      <c r="U24" s="7">
        <f>239798+2656805+326074+25375+205541+79933+275323+659760+63439+411082</f>
        <v>4943130</v>
      </c>
      <c r="V24" s="7">
        <f>363531+755027+200611+17022+335567+13374+156841+179942+826460</f>
        <v>2848375</v>
      </c>
      <c r="W24" s="7">
        <f>216651+858178+28887+13240+308126+96289+9629+74624+13240+862993</f>
        <v>2481857</v>
      </c>
      <c r="X24" s="7">
        <f>190595+1018147+298804+248389+40578+382420+125424+179528+116816</f>
        <v>2600701</v>
      </c>
      <c r="Y24" s="7">
        <v>6668448</v>
      </c>
      <c r="Z24" s="7">
        <v>4921506</v>
      </c>
      <c r="AA24" s="7">
        <v>7463498</v>
      </c>
      <c r="AB24" s="67">
        <v>4281006</v>
      </c>
      <c r="AC24" s="7">
        <f>SUM(Q24:AB24)</f>
        <v>54701060</v>
      </c>
    </row>
    <row r="25" spans="1:29" ht="12.75">
      <c r="A25" s="4" t="s">
        <v>27</v>
      </c>
      <c r="B25" s="8">
        <f>1309+18331</f>
        <v>19640</v>
      </c>
      <c r="C25" s="8">
        <f>339701+1302</f>
        <v>341003</v>
      </c>
      <c r="D25" s="8">
        <f>274808+1321+1321</f>
        <v>277450</v>
      </c>
      <c r="E25" s="8">
        <f>58231+2588+5176</f>
        <v>65995</v>
      </c>
      <c r="F25" s="8">
        <f>133221</f>
        <v>133221</v>
      </c>
      <c r="G25" s="8">
        <f>1216+2432</f>
        <v>3648</v>
      </c>
      <c r="H25" s="8">
        <v>1597198</v>
      </c>
      <c r="I25" s="8">
        <f>66401+7378+1230</f>
        <v>75009</v>
      </c>
      <c r="J25" s="8">
        <v>398098</v>
      </c>
      <c r="K25" s="8">
        <v>348617</v>
      </c>
      <c r="L25" s="8">
        <v>35344</v>
      </c>
      <c r="M25" s="47">
        <v>138748</v>
      </c>
      <c r="N25" s="8">
        <f aca="true" t="shared" si="4" ref="N25:N38">SUM(B25:M25)</f>
        <v>3433971</v>
      </c>
      <c r="P25" s="4" t="s">
        <v>27</v>
      </c>
      <c r="Q25" s="8">
        <f>34043</f>
        <v>34043</v>
      </c>
      <c r="R25" s="8">
        <f>126249+144471</f>
        <v>270720</v>
      </c>
      <c r="S25" s="8">
        <f>26424+67381</f>
        <v>93805</v>
      </c>
      <c r="T25" s="8">
        <v>55643</v>
      </c>
      <c r="U25" s="8">
        <v>3806</v>
      </c>
      <c r="V25" s="8">
        <f>4863+2432</f>
        <v>7295</v>
      </c>
      <c r="W25" s="8">
        <f>14443+42127</f>
        <v>56570</v>
      </c>
      <c r="X25" s="8">
        <f>55334+154935</f>
        <v>210269</v>
      </c>
      <c r="Y25" s="8">
        <v>100443</v>
      </c>
      <c r="Z25" s="8">
        <v>159883</v>
      </c>
      <c r="AA25" s="8"/>
      <c r="AB25" s="47">
        <v>364064</v>
      </c>
      <c r="AC25" s="8">
        <f aca="true" t="shared" si="5" ref="AC25:AC38">SUM(Q25:AB25)</f>
        <v>1356541</v>
      </c>
    </row>
    <row r="26" spans="1:29" ht="12.75">
      <c r="A26" s="4" t="s">
        <v>10</v>
      </c>
      <c r="B26" s="8"/>
      <c r="C26" s="8">
        <v>66378</v>
      </c>
      <c r="D26" s="8">
        <v>2642</v>
      </c>
      <c r="E26" s="8">
        <f>41409</f>
        <v>41409</v>
      </c>
      <c r="F26" s="8">
        <v>16494</v>
      </c>
      <c r="G26" s="8">
        <f>108208</f>
        <v>108208</v>
      </c>
      <c r="H26" s="8"/>
      <c r="I26" s="8"/>
      <c r="J26" s="8">
        <v>107793</v>
      </c>
      <c r="K26" s="8"/>
      <c r="L26" s="8"/>
      <c r="M26" s="47">
        <v>17788</v>
      </c>
      <c r="N26" s="8">
        <f t="shared" si="4"/>
        <v>360712</v>
      </c>
      <c r="P26" s="4" t="s">
        <v>10</v>
      </c>
      <c r="Q26" s="8"/>
      <c r="R26" s="8"/>
      <c r="S26" s="8"/>
      <c r="T26" s="8"/>
      <c r="U26" s="8"/>
      <c r="V26" s="8">
        <v>111856</v>
      </c>
      <c r="W26" s="8">
        <v>39719</v>
      </c>
      <c r="X26" s="8"/>
      <c r="Y26" s="8"/>
      <c r="Z26" s="8"/>
      <c r="AA26" s="8">
        <v>3534</v>
      </c>
      <c r="AB26" s="47">
        <v>109100</v>
      </c>
      <c r="AC26" s="8">
        <f t="shared" si="5"/>
        <v>264209</v>
      </c>
    </row>
    <row r="27" spans="1:29" ht="12.75">
      <c r="A27" s="4" t="s">
        <v>33</v>
      </c>
      <c r="B27" s="8">
        <f>79869+27496</f>
        <v>107365</v>
      </c>
      <c r="C27" s="8">
        <f>193929+140566</f>
        <v>334495</v>
      </c>
      <c r="D27" s="8">
        <f>154579+459775</f>
        <v>614354</v>
      </c>
      <c r="E27" s="8">
        <f>310565+441261</f>
        <v>751826</v>
      </c>
      <c r="F27" s="8">
        <f>379362+191584+64707</f>
        <v>635653</v>
      </c>
      <c r="G27" s="8"/>
      <c r="H27" s="8">
        <f>813644+541627</f>
        <v>1355271</v>
      </c>
      <c r="I27" s="8">
        <f>591460+507844</f>
        <v>1099304</v>
      </c>
      <c r="J27" s="8">
        <v>3161511</v>
      </c>
      <c r="K27" s="8">
        <v>821052</v>
      </c>
      <c r="L27" s="8">
        <v>1220550</v>
      </c>
      <c r="M27" s="47">
        <v>259706</v>
      </c>
      <c r="N27" s="8">
        <f t="shared" si="4"/>
        <v>10361087</v>
      </c>
      <c r="P27" s="4" t="s">
        <v>33</v>
      </c>
      <c r="Q27" s="8"/>
      <c r="R27" s="8">
        <f>123646+66378</f>
        <v>190024</v>
      </c>
      <c r="S27" s="8">
        <v>480914</v>
      </c>
      <c r="T27" s="8">
        <f>265274+430909</f>
        <v>696183</v>
      </c>
      <c r="U27" s="8">
        <f>569678+308311</f>
        <v>877989</v>
      </c>
      <c r="V27" s="8">
        <v>125230</v>
      </c>
      <c r="W27" s="8">
        <f>1697098+352659</f>
        <v>2049757</v>
      </c>
      <c r="X27" s="8">
        <f>1223498+670157</f>
        <v>1893655</v>
      </c>
      <c r="Y27" s="8">
        <v>1439278</v>
      </c>
      <c r="Z27" s="8">
        <v>664776</v>
      </c>
      <c r="AA27" s="8">
        <v>491283</v>
      </c>
      <c r="AB27" s="47">
        <v>47435</v>
      </c>
      <c r="AC27" s="8">
        <f t="shared" si="5"/>
        <v>8956524</v>
      </c>
    </row>
    <row r="28" spans="1:29" ht="12.75">
      <c r="A28" s="4" t="s">
        <v>11</v>
      </c>
      <c r="B28" s="8"/>
      <c r="C28" s="8"/>
      <c r="D28" s="8"/>
      <c r="E28" s="8"/>
      <c r="F28" s="8">
        <v>175090</v>
      </c>
      <c r="G28" s="8"/>
      <c r="H28" s="8"/>
      <c r="I28" s="8"/>
      <c r="J28" s="8"/>
      <c r="K28" s="8"/>
      <c r="L28" s="8">
        <v>49482</v>
      </c>
      <c r="M28" s="47"/>
      <c r="N28" s="8">
        <f t="shared" si="4"/>
        <v>224572</v>
      </c>
      <c r="P28" s="4" t="s">
        <v>11</v>
      </c>
      <c r="Q28" s="8"/>
      <c r="R28" s="8">
        <v>1302</v>
      </c>
      <c r="S28" s="8">
        <v>9248</v>
      </c>
      <c r="T28" s="8">
        <v>20704</v>
      </c>
      <c r="U28" s="8"/>
      <c r="V28" s="8"/>
      <c r="W28" s="8"/>
      <c r="X28" s="8">
        <v>18445</v>
      </c>
      <c r="Y28" s="8">
        <v>6125</v>
      </c>
      <c r="Z28" s="8">
        <v>2404</v>
      </c>
      <c r="AA28" s="8">
        <v>28275</v>
      </c>
      <c r="AB28" s="47"/>
      <c r="AC28" s="8">
        <f t="shared" si="5"/>
        <v>86503</v>
      </c>
    </row>
    <row r="29" spans="1:29" ht="12.75">
      <c r="A29" s="4" t="s">
        <v>12</v>
      </c>
      <c r="B29" s="8">
        <v>179378</v>
      </c>
      <c r="C29" s="8">
        <v>75489</v>
      </c>
      <c r="D29" s="8">
        <v>167791</v>
      </c>
      <c r="E29" s="8">
        <v>116462</v>
      </c>
      <c r="F29" s="8">
        <v>295623</v>
      </c>
      <c r="G29" s="8">
        <v>102129</v>
      </c>
      <c r="H29" s="8">
        <v>81846</v>
      </c>
      <c r="I29" s="8">
        <v>199203</v>
      </c>
      <c r="J29" s="8">
        <v>153115</v>
      </c>
      <c r="K29" s="8">
        <v>86553</v>
      </c>
      <c r="L29" s="8">
        <v>273328</v>
      </c>
      <c r="M29" s="47">
        <v>502811</v>
      </c>
      <c r="N29" s="8">
        <f t="shared" si="4"/>
        <v>2233728</v>
      </c>
      <c r="P29" s="4" t="s">
        <v>12</v>
      </c>
      <c r="Q29" s="8"/>
      <c r="R29" s="8"/>
      <c r="S29" s="8"/>
      <c r="T29" s="8"/>
      <c r="U29" s="8">
        <v>29182</v>
      </c>
      <c r="V29" s="8"/>
      <c r="W29" s="8">
        <v>111936</v>
      </c>
      <c r="X29" s="8"/>
      <c r="Y29" s="8"/>
      <c r="Z29" s="8">
        <v>34862</v>
      </c>
      <c r="AA29" s="8"/>
      <c r="AB29" s="47">
        <v>40320</v>
      </c>
      <c r="AC29" s="8">
        <f t="shared" si="5"/>
        <v>216300</v>
      </c>
    </row>
    <row r="30" spans="1:29" ht="12.75">
      <c r="A30" s="4" t="s">
        <v>13</v>
      </c>
      <c r="B30" s="8"/>
      <c r="C30" s="8"/>
      <c r="D30" s="8"/>
      <c r="E30" s="8"/>
      <c r="F30" s="8">
        <v>7613</v>
      </c>
      <c r="G30" s="8"/>
      <c r="H30" s="8"/>
      <c r="I30" s="8"/>
      <c r="J30" s="8"/>
      <c r="K30" s="8"/>
      <c r="L30" s="8"/>
      <c r="M30" s="47"/>
      <c r="N30" s="8">
        <f t="shared" si="4"/>
        <v>7613</v>
      </c>
      <c r="P30" s="4" t="s">
        <v>13</v>
      </c>
      <c r="Q30" s="8"/>
      <c r="R30" s="8"/>
      <c r="S30" s="8"/>
      <c r="T30" s="8"/>
      <c r="U30" s="8"/>
      <c r="V30" s="8"/>
      <c r="W30" s="8"/>
      <c r="X30" s="8"/>
      <c r="Y30" s="8">
        <v>1225</v>
      </c>
      <c r="Z30" s="8"/>
      <c r="AA30" s="8"/>
      <c r="AB30" s="47"/>
      <c r="AC30" s="8">
        <f t="shared" si="5"/>
        <v>1225</v>
      </c>
    </row>
    <row r="31" spans="1:29" ht="12.75">
      <c r="A31" s="4" t="s">
        <v>14</v>
      </c>
      <c r="B31" s="8">
        <v>5745338</v>
      </c>
      <c r="C31" s="8">
        <v>4869054</v>
      </c>
      <c r="D31" s="8">
        <v>5723400</v>
      </c>
      <c r="E31" s="8">
        <v>10777903</v>
      </c>
      <c r="F31" s="8">
        <v>6935097</v>
      </c>
      <c r="G31" s="8">
        <v>7273059</v>
      </c>
      <c r="H31" s="8">
        <v>9034341</v>
      </c>
      <c r="I31" s="8">
        <v>5253049</v>
      </c>
      <c r="J31" s="8">
        <v>7392374</v>
      </c>
      <c r="K31" s="8">
        <v>7205545</v>
      </c>
      <c r="L31" s="8">
        <v>4029229</v>
      </c>
      <c r="M31" s="47">
        <v>4564430</v>
      </c>
      <c r="N31" s="8">
        <f t="shared" si="4"/>
        <v>78802819</v>
      </c>
      <c r="P31" s="4" t="s">
        <v>14</v>
      </c>
      <c r="Q31" s="8">
        <v>2066122</v>
      </c>
      <c r="R31" s="8">
        <v>1210430</v>
      </c>
      <c r="S31" s="8">
        <v>1946115</v>
      </c>
      <c r="T31" s="8">
        <v>3207879</v>
      </c>
      <c r="U31" s="8">
        <v>931277</v>
      </c>
      <c r="V31" s="8">
        <v>752595</v>
      </c>
      <c r="W31" s="8">
        <v>1218059</v>
      </c>
      <c r="X31" s="8">
        <v>1803891</v>
      </c>
      <c r="Y31" s="8">
        <v>2430235</v>
      </c>
      <c r="Z31" s="8">
        <v>2834614</v>
      </c>
      <c r="AA31" s="8">
        <v>940153</v>
      </c>
      <c r="AB31" s="47">
        <v>780305</v>
      </c>
      <c r="AC31" s="8">
        <f t="shared" si="5"/>
        <v>20121675</v>
      </c>
    </row>
    <row r="32" spans="1:29" ht="12.75">
      <c r="A32" s="4" t="s">
        <v>15</v>
      </c>
      <c r="B32" s="8"/>
      <c r="C32" s="8">
        <v>182215</v>
      </c>
      <c r="D32" s="8">
        <v>77950</v>
      </c>
      <c r="E32" s="8">
        <v>197985</v>
      </c>
      <c r="F32" s="8">
        <v>370481</v>
      </c>
      <c r="G32" s="8">
        <v>395143</v>
      </c>
      <c r="H32" s="8">
        <v>187764</v>
      </c>
      <c r="I32" s="8"/>
      <c r="J32" s="8">
        <v>258457</v>
      </c>
      <c r="K32" s="8">
        <v>318563</v>
      </c>
      <c r="L32" s="8">
        <v>96607</v>
      </c>
      <c r="M32" s="47">
        <v>96056</v>
      </c>
      <c r="N32" s="8">
        <f t="shared" si="4"/>
        <v>2181221</v>
      </c>
      <c r="P32" s="4" t="s">
        <v>15</v>
      </c>
      <c r="Q32" s="8"/>
      <c r="R32" s="8"/>
      <c r="S32" s="8"/>
      <c r="T32" s="8">
        <v>10352</v>
      </c>
      <c r="U32" s="8"/>
      <c r="V32" s="8"/>
      <c r="W32" s="8">
        <v>1204</v>
      </c>
      <c r="X32" s="8"/>
      <c r="Y32" s="8"/>
      <c r="Z32" s="8"/>
      <c r="AA32" s="8"/>
      <c r="AB32" s="47"/>
      <c r="AC32" s="8">
        <f t="shared" si="5"/>
        <v>11556</v>
      </c>
    </row>
    <row r="33" spans="1:29" ht="12.75">
      <c r="A33" s="4" t="s">
        <v>16</v>
      </c>
      <c r="B33" s="8">
        <v>772504</v>
      </c>
      <c r="C33" s="8">
        <v>831683</v>
      </c>
      <c r="D33" s="8">
        <v>471665</v>
      </c>
      <c r="E33" s="8">
        <v>1576118</v>
      </c>
      <c r="F33" s="8">
        <v>1311908</v>
      </c>
      <c r="G33" s="8">
        <v>1738628</v>
      </c>
      <c r="H33" s="8">
        <v>818459</v>
      </c>
      <c r="I33" s="8">
        <v>258226</v>
      </c>
      <c r="J33" s="8">
        <v>652881</v>
      </c>
      <c r="K33" s="8">
        <v>1268243</v>
      </c>
      <c r="L33" s="8">
        <v>2442278</v>
      </c>
      <c r="M33" s="47">
        <v>1769325</v>
      </c>
      <c r="N33" s="8">
        <f t="shared" si="4"/>
        <v>13911918</v>
      </c>
      <c r="P33" s="4" t="s">
        <v>16</v>
      </c>
      <c r="Q33" s="8">
        <v>1163994</v>
      </c>
      <c r="R33" s="8">
        <v>186120</v>
      </c>
      <c r="S33" s="8">
        <v>141367</v>
      </c>
      <c r="T33" s="8">
        <v>2188190</v>
      </c>
      <c r="U33" s="8">
        <v>426307</v>
      </c>
      <c r="V33" s="8">
        <v>260186</v>
      </c>
      <c r="W33" s="8">
        <v>765500</v>
      </c>
      <c r="X33" s="8">
        <v>241011</v>
      </c>
      <c r="Y33" s="8">
        <v>743525</v>
      </c>
      <c r="Z33" s="8">
        <v>688818</v>
      </c>
      <c r="AA33" s="8">
        <v>605562</v>
      </c>
      <c r="AB33" s="47">
        <v>800465</v>
      </c>
      <c r="AC33" s="8">
        <f t="shared" si="5"/>
        <v>8211045</v>
      </c>
    </row>
    <row r="34" spans="1:29" ht="12.75">
      <c r="A34" s="4" t="s">
        <v>17</v>
      </c>
      <c r="B34" s="8">
        <v>13275291</v>
      </c>
      <c r="C34" s="8">
        <v>10120760</v>
      </c>
      <c r="D34" s="8">
        <v>12967491</v>
      </c>
      <c r="E34" s="8">
        <v>22856298</v>
      </c>
      <c r="F34" s="8">
        <v>14688552</v>
      </c>
      <c r="G34" s="8">
        <v>28333562</v>
      </c>
      <c r="H34" s="8">
        <v>18356346</v>
      </c>
      <c r="I34" s="8">
        <v>11325043</v>
      </c>
      <c r="J34" s="8">
        <v>20816240</v>
      </c>
      <c r="K34" s="8">
        <v>22321079</v>
      </c>
      <c r="L34" s="8">
        <v>25306385</v>
      </c>
      <c r="M34" s="47">
        <v>23265669</v>
      </c>
      <c r="N34" s="8">
        <f t="shared" si="4"/>
        <v>223632716</v>
      </c>
      <c r="P34" s="4" t="s">
        <v>17</v>
      </c>
      <c r="Q34" s="8">
        <v>896891</v>
      </c>
      <c r="R34" s="8">
        <v>846000</v>
      </c>
      <c r="S34" s="8">
        <v>524513</v>
      </c>
      <c r="T34" s="8">
        <v>747944</v>
      </c>
      <c r="U34" s="8">
        <v>310849</v>
      </c>
      <c r="V34" s="8">
        <v>577516</v>
      </c>
      <c r="W34" s="8">
        <v>765500</v>
      </c>
      <c r="X34" s="8">
        <v>521370</v>
      </c>
      <c r="Y34" s="8">
        <v>902760</v>
      </c>
      <c r="Z34" s="8">
        <v>635925</v>
      </c>
      <c r="AA34" s="8">
        <v>864753</v>
      </c>
      <c r="AB34" s="47">
        <v>411498</v>
      </c>
      <c r="AC34" s="8">
        <f t="shared" si="5"/>
        <v>8005519</v>
      </c>
    </row>
    <row r="35" spans="1:29" ht="12.75">
      <c r="A35" s="4" t="s">
        <v>18</v>
      </c>
      <c r="B35" s="8"/>
      <c r="C35" s="8">
        <v>40348</v>
      </c>
      <c r="D35" s="8">
        <v>36993</v>
      </c>
      <c r="E35" s="8">
        <v>31057</v>
      </c>
      <c r="F35" s="8">
        <v>69782</v>
      </c>
      <c r="G35" s="8"/>
      <c r="H35" s="8">
        <v>79439</v>
      </c>
      <c r="I35" s="8">
        <v>57793</v>
      </c>
      <c r="J35" s="8">
        <v>40422</v>
      </c>
      <c r="K35" s="8"/>
      <c r="L35" s="8">
        <v>210887</v>
      </c>
      <c r="M35" s="47">
        <v>169580</v>
      </c>
      <c r="N35" s="8">
        <f t="shared" si="4"/>
        <v>736301</v>
      </c>
      <c r="P35" s="4" t="s">
        <v>18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47"/>
      <c r="AC35" s="8"/>
    </row>
    <row r="36" spans="1:29" ht="12.75">
      <c r="A36" s="4" t="s">
        <v>19</v>
      </c>
      <c r="B36" s="8">
        <v>90344</v>
      </c>
      <c r="C36" s="8">
        <v>14317</v>
      </c>
      <c r="D36" s="8">
        <v>17175</v>
      </c>
      <c r="E36" s="8">
        <v>55643</v>
      </c>
      <c r="F36" s="8">
        <v>48213</v>
      </c>
      <c r="G36" s="8">
        <v>15806</v>
      </c>
      <c r="H36" s="8">
        <v>13240</v>
      </c>
      <c r="I36" s="8">
        <v>45497</v>
      </c>
      <c r="J36" s="8">
        <v>22049</v>
      </c>
      <c r="K36" s="8">
        <v>42074</v>
      </c>
      <c r="L36" s="8">
        <v>110745</v>
      </c>
      <c r="M36" s="47">
        <v>71152</v>
      </c>
      <c r="N36" s="8">
        <f t="shared" si="4"/>
        <v>546255</v>
      </c>
      <c r="P36" s="4" t="s">
        <v>19</v>
      </c>
      <c r="Q36" s="8"/>
      <c r="R36" s="8"/>
      <c r="S36" s="8"/>
      <c r="T36" s="8">
        <v>141048</v>
      </c>
      <c r="U36" s="8">
        <v>272786</v>
      </c>
      <c r="V36" s="8">
        <v>12158</v>
      </c>
      <c r="W36" s="8">
        <v>10833</v>
      </c>
      <c r="X36" s="8"/>
      <c r="Y36" s="8">
        <v>14699</v>
      </c>
      <c r="Z36" s="8">
        <v>102181</v>
      </c>
      <c r="AA36" s="8">
        <v>83648</v>
      </c>
      <c r="AB36" s="47"/>
      <c r="AC36" s="8">
        <f t="shared" si="5"/>
        <v>637353</v>
      </c>
    </row>
    <row r="37" spans="1:29" ht="12.75">
      <c r="A37" s="11" t="s">
        <v>26</v>
      </c>
      <c r="B37" s="12"/>
      <c r="C37" s="12"/>
      <c r="D37" s="12"/>
      <c r="E37" s="12"/>
      <c r="F37" s="12"/>
      <c r="G37" s="12">
        <v>1216</v>
      </c>
      <c r="H37" s="12">
        <v>1204</v>
      </c>
      <c r="I37" s="12"/>
      <c r="J37" s="12"/>
      <c r="K37" s="12"/>
      <c r="L37" s="12"/>
      <c r="M37" s="12"/>
      <c r="N37" s="9">
        <f t="shared" si="4"/>
        <v>2420</v>
      </c>
      <c r="P37" s="11" t="s">
        <v>35</v>
      </c>
      <c r="Q37" s="12"/>
      <c r="R37" s="12">
        <v>16920</v>
      </c>
      <c r="S37" s="12"/>
      <c r="T37" s="12"/>
      <c r="U37" s="12"/>
      <c r="V37" s="12">
        <v>128877</v>
      </c>
      <c r="W37" s="12">
        <v>64995</v>
      </c>
      <c r="X37" s="12"/>
      <c r="Y37" s="12"/>
      <c r="Z37" s="12">
        <v>8415</v>
      </c>
      <c r="AA37" s="12"/>
      <c r="AB37" s="12"/>
      <c r="AC37" s="9">
        <f t="shared" si="5"/>
        <v>219207</v>
      </c>
    </row>
    <row r="38" spans="1:29" ht="12.75">
      <c r="A38" s="1" t="s">
        <v>20</v>
      </c>
      <c r="B38" s="10">
        <f>SUM(B24:B37)</f>
        <v>39418672</v>
      </c>
      <c r="C38" s="10">
        <f aca="true" t="shared" si="6" ref="C38:M38">SUM(C24:C37)</f>
        <v>30450783</v>
      </c>
      <c r="D38" s="10">
        <f t="shared" si="6"/>
        <v>39407166</v>
      </c>
      <c r="E38" s="10">
        <f t="shared" si="6"/>
        <v>48973529</v>
      </c>
      <c r="F38" s="10">
        <f t="shared" si="6"/>
        <v>46030978</v>
      </c>
      <c r="G38" s="10">
        <f t="shared" si="6"/>
        <v>53591090</v>
      </c>
      <c r="H38" s="10">
        <f t="shared" si="6"/>
        <v>42471995</v>
      </c>
      <c r="I38" s="10">
        <f t="shared" si="6"/>
        <v>37180821</v>
      </c>
      <c r="J38" s="10">
        <f t="shared" si="6"/>
        <v>51202757</v>
      </c>
      <c r="K38" s="10">
        <f t="shared" si="6"/>
        <v>52103755</v>
      </c>
      <c r="L38" s="10">
        <f t="shared" si="6"/>
        <v>54534788</v>
      </c>
      <c r="M38" s="48">
        <f t="shared" si="6"/>
        <v>55037615</v>
      </c>
      <c r="N38" s="9">
        <f t="shared" si="4"/>
        <v>550403949</v>
      </c>
      <c r="P38" s="1" t="s">
        <v>20</v>
      </c>
      <c r="Q38" s="10">
        <f>SUM(Q24:Q37)</f>
        <v>6210151</v>
      </c>
      <c r="R38" s="10">
        <f>SUM(R24:R37)</f>
        <v>9453071</v>
      </c>
      <c r="S38" s="10">
        <f aca="true" t="shared" si="7" ref="S38:AB38">SUM(S24:S37)</f>
        <v>7487191</v>
      </c>
      <c r="T38" s="10">
        <f t="shared" si="7"/>
        <v>12488597</v>
      </c>
      <c r="U38" s="10">
        <f t="shared" si="7"/>
        <v>7795326</v>
      </c>
      <c r="V38" s="10">
        <f t="shared" si="7"/>
        <v>4824088</v>
      </c>
      <c r="W38" s="10">
        <f t="shared" si="7"/>
        <v>7565930</v>
      </c>
      <c r="X38" s="10">
        <f t="shared" si="7"/>
        <v>7289342</v>
      </c>
      <c r="Y38" s="10">
        <f t="shared" si="7"/>
        <v>12306738</v>
      </c>
      <c r="Z38" s="10">
        <f t="shared" si="7"/>
        <v>10053384</v>
      </c>
      <c r="AA38" s="10">
        <f t="shared" si="7"/>
        <v>10480706</v>
      </c>
      <c r="AB38" s="10">
        <f t="shared" si="7"/>
        <v>6834193</v>
      </c>
      <c r="AC38" s="9">
        <f t="shared" si="5"/>
        <v>102788717</v>
      </c>
    </row>
    <row r="39" spans="1:16" ht="12.75">
      <c r="A39" s="5" t="s">
        <v>24</v>
      </c>
      <c r="P39" s="5" t="s">
        <v>24</v>
      </c>
    </row>
    <row r="41" spans="1:16" ht="12.75">
      <c r="A41" t="s">
        <v>22</v>
      </c>
      <c r="P41" t="s">
        <v>34</v>
      </c>
    </row>
    <row r="42" spans="1:16" ht="12.75">
      <c r="A42" t="s">
        <v>32</v>
      </c>
      <c r="P42" t="s">
        <v>32</v>
      </c>
    </row>
    <row r="43" spans="1:29" ht="12.75">
      <c r="A43" s="1" t="s">
        <v>21</v>
      </c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7</v>
      </c>
      <c r="J43" s="2" t="s">
        <v>8</v>
      </c>
      <c r="K43" s="2" t="s">
        <v>28</v>
      </c>
      <c r="L43" s="2" t="s">
        <v>29</v>
      </c>
      <c r="M43" s="2" t="s">
        <v>30</v>
      </c>
      <c r="N43" s="6" t="s">
        <v>25</v>
      </c>
      <c r="P43" s="1" t="s">
        <v>21</v>
      </c>
      <c r="Q43" s="2" t="s">
        <v>0</v>
      </c>
      <c r="R43" s="2" t="s">
        <v>1</v>
      </c>
      <c r="S43" s="2" t="s">
        <v>2</v>
      </c>
      <c r="T43" s="2" t="s">
        <v>3</v>
      </c>
      <c r="U43" s="2" t="s">
        <v>4</v>
      </c>
      <c r="V43" s="2" t="s">
        <v>5</v>
      </c>
      <c r="W43" s="2" t="s">
        <v>6</v>
      </c>
      <c r="X43" s="2" t="s">
        <v>7</v>
      </c>
      <c r="Y43" s="2" t="s">
        <v>8</v>
      </c>
      <c r="Z43" s="2" t="s">
        <v>28</v>
      </c>
      <c r="AA43" s="2" t="s">
        <v>29</v>
      </c>
      <c r="AB43" s="2" t="s">
        <v>30</v>
      </c>
      <c r="AC43" s="6" t="s">
        <v>25</v>
      </c>
    </row>
    <row r="44" spans="1:29" ht="12.75">
      <c r="A44" s="3" t="s">
        <v>9</v>
      </c>
      <c r="B44" s="14">
        <f>B24/B4</f>
        <v>5683.95270469997</v>
      </c>
      <c r="C44" s="14">
        <f aca="true" t="shared" si="8" ref="C44:N44">C24/C4</f>
        <v>5440.898196392785</v>
      </c>
      <c r="D44" s="14">
        <f t="shared" si="8"/>
        <v>6308.031456953642</v>
      </c>
      <c r="E44" s="14">
        <f t="shared" si="8"/>
        <v>5581.621875</v>
      </c>
      <c r="F44" s="14">
        <f t="shared" si="8"/>
        <v>6080.69829059829</v>
      </c>
      <c r="G44" s="14">
        <f t="shared" si="8"/>
        <v>5480.593333333333</v>
      </c>
      <c r="H44" s="14">
        <f t="shared" si="8"/>
        <v>4771.964690496949</v>
      </c>
      <c r="I44" s="14">
        <f t="shared" si="8"/>
        <v>5632.148358208955</v>
      </c>
      <c r="J44" s="14">
        <f t="shared" si="8"/>
        <v>5683.890381011867</v>
      </c>
      <c r="K44" s="14">
        <f t="shared" si="8"/>
        <v>5463.937014428413</v>
      </c>
      <c r="L44" s="14">
        <f t="shared" si="8"/>
        <v>8344.032556270096</v>
      </c>
      <c r="M44" s="14">
        <f t="shared" si="8"/>
        <v>6097.415532022189</v>
      </c>
      <c r="N44" s="14">
        <f t="shared" si="8"/>
        <v>5877.935717817702</v>
      </c>
      <c r="P44" s="3" t="s">
        <v>9</v>
      </c>
      <c r="Q44" s="14">
        <f>Q24/Q4</f>
        <v>4635.975113122172</v>
      </c>
      <c r="R44" s="14">
        <f aca="true" t="shared" si="9" ref="R44:AB44">R24/R4</f>
        <v>3502.369927159209</v>
      </c>
      <c r="S44" s="14">
        <f t="shared" si="9"/>
        <v>3904.6669699727026</v>
      </c>
      <c r="T44" s="14">
        <f t="shared" si="9"/>
        <v>3604.158244680851</v>
      </c>
      <c r="U44" s="14">
        <f t="shared" si="9"/>
        <v>4257.64857881137</v>
      </c>
      <c r="V44" s="14">
        <f t="shared" si="9"/>
        <v>4457.550860719874</v>
      </c>
      <c r="W44" s="14">
        <f t="shared" si="9"/>
        <v>2506.9262626262625</v>
      </c>
      <c r="X44" s="14">
        <f t="shared" si="9"/>
        <v>3769.131884057971</v>
      </c>
      <c r="Y44" s="14">
        <f t="shared" si="9"/>
        <v>3426.7461459403908</v>
      </c>
      <c r="Z44" s="14">
        <f t="shared" si="9"/>
        <v>4417.86894075404</v>
      </c>
      <c r="AA44" s="14">
        <f t="shared" si="9"/>
        <v>3499.061415846226</v>
      </c>
      <c r="AB44" s="14">
        <f t="shared" si="9"/>
        <v>4413.408247422681</v>
      </c>
      <c r="AC44" s="14">
        <f>AC24/AC4</f>
        <v>3744.0835044490077</v>
      </c>
    </row>
    <row r="45" spans="1:29" ht="12.75">
      <c r="A45" s="4" t="s">
        <v>27</v>
      </c>
      <c r="B45" s="15">
        <f>B25/B5</f>
        <v>4910</v>
      </c>
      <c r="C45" s="15">
        <f>C25/C5</f>
        <v>3919.574712643678</v>
      </c>
      <c r="D45" s="15">
        <f>D25/D5</f>
        <v>3512.025316455696</v>
      </c>
      <c r="E45" s="15">
        <f>E25/E5</f>
        <v>2749.7916666666665</v>
      </c>
      <c r="F45" s="15">
        <f>F25/F5</f>
        <v>3918.264705882353</v>
      </c>
      <c r="G45" s="15">
        <v>4863.296</v>
      </c>
      <c r="H45" s="15">
        <f aca="true" t="shared" si="10" ref="H45:M45">H25/H5</f>
        <v>3557.2338530066813</v>
      </c>
      <c r="I45" s="15">
        <f t="shared" si="10"/>
        <v>3750.45</v>
      </c>
      <c r="J45" s="15">
        <f t="shared" si="10"/>
        <v>2726.698630136986</v>
      </c>
      <c r="K45" s="15">
        <f t="shared" si="10"/>
        <v>3669.6526315789474</v>
      </c>
      <c r="L45" s="15">
        <f t="shared" si="10"/>
        <v>3534.4</v>
      </c>
      <c r="M45" s="15">
        <f t="shared" si="10"/>
        <v>2668.230769230769</v>
      </c>
      <c r="N45" s="15">
        <f aca="true" t="shared" si="11" ref="N45:N56">N25/N5</f>
        <v>3430.5404595404593</v>
      </c>
      <c r="P45" s="4" t="s">
        <v>27</v>
      </c>
      <c r="Q45" s="15">
        <f>Q25/Q5</f>
        <v>1702.15</v>
      </c>
      <c r="R45" s="15">
        <f>R25/R5</f>
        <v>4040.597014925373</v>
      </c>
      <c r="S45" s="15">
        <f>S25/S5</f>
        <v>3752.2</v>
      </c>
      <c r="T45" s="15">
        <f>T25/T5</f>
        <v>3974.5</v>
      </c>
      <c r="U45" s="15">
        <v>3460.282</v>
      </c>
      <c r="V45" s="15">
        <f>V25/V5</f>
        <v>3647.5</v>
      </c>
      <c r="W45" s="15">
        <f>W25/W5</f>
        <v>3142.777777777778</v>
      </c>
      <c r="X45" s="15">
        <f>X25/X5</f>
        <v>3092.1911764705883</v>
      </c>
      <c r="Y45" s="15">
        <f>Y25/Y5</f>
        <v>4783</v>
      </c>
      <c r="Z45" s="15">
        <f>Z25/Z5</f>
        <v>2804.964912280702</v>
      </c>
      <c r="AA45" s="15"/>
      <c r="AB45" s="15">
        <f>AB25/AB5</f>
        <v>2959.869918699187</v>
      </c>
      <c r="AC45" s="15">
        <f aca="true" t="shared" si="12" ref="AC45:AC58">AC25/AC5</f>
        <v>3260.9158653846152</v>
      </c>
    </row>
    <row r="46" spans="1:29" ht="12.75">
      <c r="A46" s="4" t="s">
        <v>10</v>
      </c>
      <c r="B46" s="15"/>
      <c r="C46" s="15">
        <f>C26/C6</f>
        <v>7375.333333333333</v>
      </c>
      <c r="D46" s="15"/>
      <c r="E46" s="15">
        <f>E26/E6</f>
        <v>3450.75</v>
      </c>
      <c r="F46" s="15">
        <v>7171.309</v>
      </c>
      <c r="G46" s="15">
        <f>G26/G6</f>
        <v>4508.666666666667</v>
      </c>
      <c r="H46" s="15"/>
      <c r="I46" s="15"/>
      <c r="J46" s="15">
        <f>J26/J6</f>
        <v>7186.2</v>
      </c>
      <c r="K46" s="15"/>
      <c r="L46" s="15"/>
      <c r="M46" s="15">
        <f>M26/M6</f>
        <v>8894</v>
      </c>
      <c r="N46" s="15">
        <f t="shared" si="11"/>
        <v>5636.125</v>
      </c>
      <c r="P46" s="4" t="s">
        <v>10</v>
      </c>
      <c r="Q46" s="15"/>
      <c r="R46" s="15"/>
      <c r="S46" s="15"/>
      <c r="T46" s="15"/>
      <c r="U46" s="15"/>
      <c r="V46" s="15">
        <f>V26/V6</f>
        <v>2868.102564102564</v>
      </c>
      <c r="W46" s="15">
        <f>W26/W6</f>
        <v>1654.9583333333333</v>
      </c>
      <c r="X46" s="15"/>
      <c r="Y46" s="15"/>
      <c r="Z46" s="15"/>
      <c r="AA46" s="15">
        <f>AA26/AA6</f>
        <v>3534</v>
      </c>
      <c r="AB46" s="15">
        <f>AB26/AB6</f>
        <v>2727.5</v>
      </c>
      <c r="AC46" s="15">
        <f t="shared" si="12"/>
        <v>2540.471153846154</v>
      </c>
    </row>
    <row r="47" spans="1:29" ht="12.75">
      <c r="A47" s="4" t="s">
        <v>33</v>
      </c>
      <c r="B47" s="15">
        <f>B27/B7</f>
        <v>6710.3125</v>
      </c>
      <c r="C47" s="15">
        <f>C27/C7</f>
        <v>7433.222222222223</v>
      </c>
      <c r="D47" s="15">
        <f>D27/D7</f>
        <v>8652.87323943662</v>
      </c>
      <c r="E47" s="15">
        <f>E27/E7</f>
        <v>8172.021739130435</v>
      </c>
      <c r="F47" s="15">
        <f>F27/F7</f>
        <v>8952.859154929578</v>
      </c>
      <c r="G47" s="15"/>
      <c r="H47" s="15">
        <f>H27/H7</f>
        <v>8800.461038961039</v>
      </c>
      <c r="I47" s="15">
        <f>I27/I7</f>
        <v>7634.055555555556</v>
      </c>
      <c r="J47" s="15">
        <f>J27/J7</f>
        <v>7825.522277227723</v>
      </c>
      <c r="K47" s="15">
        <f>K27/K7</f>
        <v>8642.652631578947</v>
      </c>
      <c r="L47" s="15">
        <f>L27/L7</f>
        <v>7977.450980392156</v>
      </c>
      <c r="M47" s="15">
        <f>M27/M7</f>
        <v>6659.128205128205</v>
      </c>
      <c r="N47" s="15">
        <f t="shared" si="11"/>
        <v>8069.382398753894</v>
      </c>
      <c r="P47" s="4" t="s">
        <v>33</v>
      </c>
      <c r="Q47" s="15"/>
      <c r="R47" s="15">
        <f>R27/R7</f>
        <v>3016.253968253968</v>
      </c>
      <c r="S47" s="15">
        <f>S27/S7</f>
        <v>3484.8840579710145</v>
      </c>
      <c r="T47" s="15">
        <f>T27/T7</f>
        <v>3283.882075471698</v>
      </c>
      <c r="U47" s="15">
        <f>U27/U7</f>
        <v>2936.418060200669</v>
      </c>
      <c r="V47" s="15">
        <f>V27/V7</f>
        <v>2912.3255813953488</v>
      </c>
      <c r="W47" s="15">
        <f>W27/W7</f>
        <v>2992.34598540146</v>
      </c>
      <c r="X47" s="15">
        <f>X27/X7</f>
        <v>3264.9224137931033</v>
      </c>
      <c r="Y47" s="15">
        <f>Y27/Y7</f>
        <v>3331.662037037037</v>
      </c>
      <c r="Z47" s="15">
        <f>Z27/Z7</f>
        <v>3444.435233160622</v>
      </c>
      <c r="AA47" s="15">
        <f>AA27/AA7</f>
        <v>2941.814371257485</v>
      </c>
      <c r="AB47" s="15">
        <f>AB27/AB7</f>
        <v>2258.809523809524</v>
      </c>
      <c r="AC47" s="15">
        <f t="shared" si="12"/>
        <v>3161.498058595129</v>
      </c>
    </row>
    <row r="48" spans="1:29" ht="12.75">
      <c r="A48" s="4" t="s">
        <v>11</v>
      </c>
      <c r="B48" s="15"/>
      <c r="C48" s="15"/>
      <c r="D48" s="15"/>
      <c r="E48" s="15"/>
      <c r="F48" s="15">
        <f>F28/F8</f>
        <v>7612.608695652174</v>
      </c>
      <c r="G48" s="15"/>
      <c r="H48" s="15"/>
      <c r="I48" s="15"/>
      <c r="J48" s="15"/>
      <c r="K48" s="15"/>
      <c r="L48" s="15">
        <f>L28/L8</f>
        <v>16494</v>
      </c>
      <c r="M48" s="15"/>
      <c r="N48" s="15">
        <f t="shared" si="11"/>
        <v>8637.384615384615</v>
      </c>
      <c r="P48" s="4" t="s">
        <v>11</v>
      </c>
      <c r="Q48" s="15"/>
      <c r="R48" s="15"/>
      <c r="S48" s="15">
        <v>15413.897</v>
      </c>
      <c r="T48" s="15">
        <v>25880.426</v>
      </c>
      <c r="U48" s="15"/>
      <c r="V48" s="15"/>
      <c r="W48" s="15"/>
      <c r="X48" s="15">
        <v>13174.783</v>
      </c>
      <c r="Y48" s="15">
        <f>Y28/Y8</f>
        <v>6125</v>
      </c>
      <c r="Z48" s="15"/>
      <c r="AA48" s="15">
        <f>AA28/AA8</f>
        <v>9425</v>
      </c>
      <c r="AB48" s="15"/>
      <c r="AC48" s="15">
        <f t="shared" si="12"/>
        <v>12357.57142857143</v>
      </c>
    </row>
    <row r="49" spans="1:29" ht="12.75">
      <c r="A49" s="4" t="s">
        <v>12</v>
      </c>
      <c r="B49" s="15">
        <f>B29/B9</f>
        <v>7799.04347826087</v>
      </c>
      <c r="C49" s="15">
        <f>C29/C9</f>
        <v>15097.8</v>
      </c>
      <c r="D49" s="15">
        <f>D29/D9</f>
        <v>16779.1</v>
      </c>
      <c r="E49" s="15">
        <f>E29/E9</f>
        <v>19410.333333333332</v>
      </c>
      <c r="F49" s="15">
        <f>F29/F9</f>
        <v>9536.225806451614</v>
      </c>
      <c r="G49" s="15">
        <f>G29/G9</f>
        <v>12766.125</v>
      </c>
      <c r="H49" s="15">
        <f>H29/H9</f>
        <v>11692.285714285714</v>
      </c>
      <c r="I49" s="15">
        <f>I29/I9</f>
        <v>16600.25</v>
      </c>
      <c r="J49" s="15">
        <f>J29/J9</f>
        <v>13919.545454545454</v>
      </c>
      <c r="K49" s="15">
        <f>K29/K9</f>
        <v>10819.125</v>
      </c>
      <c r="L49" s="15">
        <f>L29/L9</f>
        <v>18221.866666666665</v>
      </c>
      <c r="M49" s="15">
        <f>M29/M9</f>
        <v>18622.62962962963</v>
      </c>
      <c r="N49" s="15">
        <f t="shared" si="11"/>
        <v>13703.852760736196</v>
      </c>
      <c r="P49" s="4" t="s">
        <v>12</v>
      </c>
      <c r="Q49" s="15"/>
      <c r="R49" s="15"/>
      <c r="S49" s="15"/>
      <c r="T49" s="15"/>
      <c r="U49" s="15">
        <f>U29/U9</f>
        <v>1535.8947368421052</v>
      </c>
      <c r="V49" s="15"/>
      <c r="W49" s="15">
        <f>W29/W9</f>
        <v>6584.470588235294</v>
      </c>
      <c r="X49" s="15"/>
      <c r="Y49" s="15"/>
      <c r="Z49" s="15">
        <f>Z29/Z9</f>
        <v>17431</v>
      </c>
      <c r="AA49" s="15"/>
      <c r="AB49" s="15">
        <f>AB29/AB9</f>
        <v>1832.7272727272727</v>
      </c>
      <c r="AC49" s="15">
        <f t="shared" si="12"/>
        <v>3605</v>
      </c>
    </row>
    <row r="50" spans="1:29" ht="12.75">
      <c r="A50" s="4" t="s">
        <v>13</v>
      </c>
      <c r="B50" s="15"/>
      <c r="C50" s="15"/>
      <c r="D50" s="15"/>
      <c r="E50" s="15"/>
      <c r="F50" s="15">
        <v>12687.701</v>
      </c>
      <c r="G50" s="15"/>
      <c r="H50" s="15"/>
      <c r="I50" s="15"/>
      <c r="J50" s="15"/>
      <c r="K50" s="15"/>
      <c r="L50" s="15"/>
      <c r="M50" s="15"/>
      <c r="N50" s="15">
        <f t="shared" si="11"/>
        <v>7613</v>
      </c>
      <c r="P50" s="4" t="s">
        <v>13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2.75">
      <c r="A51" s="4" t="s">
        <v>14</v>
      </c>
      <c r="B51" s="15">
        <f aca="true" t="shared" si="13" ref="B51:I51">B31/B11</f>
        <v>5716.7542288557215</v>
      </c>
      <c r="C51" s="15">
        <f t="shared" si="13"/>
        <v>6298.905562742561</v>
      </c>
      <c r="D51" s="15">
        <f t="shared" si="13"/>
        <v>5551.309408341416</v>
      </c>
      <c r="E51" s="15">
        <f t="shared" si="13"/>
        <v>5435.150277357539</v>
      </c>
      <c r="F51" s="15">
        <f t="shared" si="13"/>
        <v>4996.4675792507205</v>
      </c>
      <c r="G51" s="15">
        <f t="shared" si="13"/>
        <v>5047.230395558639</v>
      </c>
      <c r="H51" s="15">
        <f t="shared" si="13"/>
        <v>5156.587328767123</v>
      </c>
      <c r="I51" s="15">
        <f t="shared" si="13"/>
        <v>5026.8411483253585</v>
      </c>
      <c r="J51" s="15">
        <f aca="true" t="shared" si="14" ref="J51:M56">J31/J11</f>
        <v>48002.42857142857</v>
      </c>
      <c r="K51" s="15">
        <f t="shared" si="14"/>
        <v>4888.4294436906375</v>
      </c>
      <c r="L51" s="15">
        <f t="shared" si="14"/>
        <v>5444.904054054054</v>
      </c>
      <c r="M51" s="15">
        <f t="shared" si="14"/>
        <v>6762.118518518519</v>
      </c>
      <c r="N51" s="15">
        <f t="shared" si="11"/>
        <v>5854.157863457395</v>
      </c>
      <c r="P51" s="4" t="s">
        <v>14</v>
      </c>
      <c r="Q51" s="15">
        <f aca="true" t="shared" si="15" ref="Q51:AB51">Q31/Q11</f>
        <v>5451.509234828496</v>
      </c>
      <c r="R51" s="15">
        <f t="shared" si="15"/>
        <v>6877.443181818182</v>
      </c>
      <c r="S51" s="15">
        <f t="shared" si="15"/>
        <v>6852.517605633803</v>
      </c>
      <c r="T51" s="15">
        <f t="shared" si="15"/>
        <v>4965.756965944272</v>
      </c>
      <c r="U51" s="15">
        <f t="shared" si="15"/>
        <v>4875.795811518325</v>
      </c>
      <c r="V51" s="15">
        <f t="shared" si="15"/>
        <v>5533.786764705882</v>
      </c>
      <c r="W51" s="15">
        <f t="shared" si="15"/>
        <v>5295.908695652174</v>
      </c>
      <c r="X51" s="15">
        <f t="shared" si="15"/>
        <v>3904.525974025974</v>
      </c>
      <c r="Y51" s="15">
        <f t="shared" si="15"/>
        <v>5116.284210526316</v>
      </c>
      <c r="Z51" s="15">
        <f t="shared" si="15"/>
        <v>5043.797153024911</v>
      </c>
      <c r="AA51" s="15">
        <f t="shared" si="15"/>
        <v>4069.926406926407</v>
      </c>
      <c r="AB51" s="15">
        <f t="shared" si="15"/>
        <v>6343.943089430894</v>
      </c>
      <c r="AC51" s="15">
        <f t="shared" si="12"/>
        <v>5166.026957637998</v>
      </c>
    </row>
    <row r="52" spans="1:29" ht="12.75">
      <c r="A52" s="4" t="s">
        <v>15</v>
      </c>
      <c r="B52" s="15"/>
      <c r="C52" s="15">
        <f aca="true" t="shared" si="16" ref="C52:H54">C32/C12</f>
        <v>6073.833333333333</v>
      </c>
      <c r="D52" s="15">
        <f t="shared" si="16"/>
        <v>6495.833333333333</v>
      </c>
      <c r="E52" s="15">
        <f t="shared" si="16"/>
        <v>6187.03125</v>
      </c>
      <c r="F52" s="15">
        <f t="shared" si="16"/>
        <v>5880.650793650793</v>
      </c>
      <c r="G52" s="15">
        <f t="shared" si="16"/>
        <v>6079.123076923077</v>
      </c>
      <c r="H52" s="15">
        <f t="shared" si="16"/>
        <v>6056.903225806452</v>
      </c>
      <c r="I52" s="15"/>
      <c r="J52" s="15">
        <f t="shared" si="14"/>
        <v>5384.520833333333</v>
      </c>
      <c r="K52" s="15">
        <f t="shared" si="14"/>
        <v>5492.4655172413795</v>
      </c>
      <c r="L52" s="15">
        <f t="shared" si="14"/>
        <v>5367.055555555556</v>
      </c>
      <c r="M52" s="15">
        <f t="shared" si="14"/>
        <v>8732.363636363636</v>
      </c>
      <c r="N52" s="15">
        <f t="shared" si="11"/>
        <v>5927.23097826087</v>
      </c>
      <c r="P52" s="4" t="s">
        <v>15</v>
      </c>
      <c r="Q52" s="15"/>
      <c r="R52" s="15"/>
      <c r="S52" s="15"/>
      <c r="T52" s="15">
        <v>9411.064</v>
      </c>
      <c r="U52" s="15"/>
      <c r="V52" s="15"/>
      <c r="W52" s="15"/>
      <c r="X52" s="15"/>
      <c r="Y52" s="15"/>
      <c r="Z52" s="15"/>
      <c r="AA52" s="15"/>
      <c r="AB52" s="15"/>
      <c r="AC52" s="15">
        <f t="shared" si="12"/>
        <v>11556</v>
      </c>
    </row>
    <row r="53" spans="1:29" ht="12.75">
      <c r="A53" s="4" t="s">
        <v>16</v>
      </c>
      <c r="B53" s="15">
        <f>B33/B13</f>
        <v>7357.1809523809525</v>
      </c>
      <c r="C53" s="15">
        <f t="shared" si="16"/>
        <v>7772.738317757009</v>
      </c>
      <c r="D53" s="15">
        <f t="shared" si="16"/>
        <v>8899.33962264151</v>
      </c>
      <c r="E53" s="15">
        <f t="shared" si="16"/>
        <v>7802.564356435643</v>
      </c>
      <c r="F53" s="15">
        <f t="shared" si="16"/>
        <v>6904.778947368421</v>
      </c>
      <c r="G53" s="15">
        <f t="shared" si="16"/>
        <v>7796.538116591928</v>
      </c>
      <c r="H53" s="15">
        <f t="shared" si="16"/>
        <v>8351.622448979591</v>
      </c>
      <c r="I53" s="15">
        <f>I33/I13</f>
        <v>5868.772727272727</v>
      </c>
      <c r="J53" s="15">
        <f t="shared" si="14"/>
        <v>6945.54255319149</v>
      </c>
      <c r="K53" s="15">
        <f t="shared" si="14"/>
        <v>6470.627551020408</v>
      </c>
      <c r="L53" s="15">
        <f t="shared" si="14"/>
        <v>6784.105555555556</v>
      </c>
      <c r="M53" s="15">
        <f t="shared" si="14"/>
        <v>7760.1973684210525</v>
      </c>
      <c r="N53" s="15">
        <f t="shared" si="11"/>
        <v>7322.062105263158</v>
      </c>
      <c r="P53" s="4" t="s">
        <v>16</v>
      </c>
      <c r="Q53" s="15">
        <f aca="true" t="shared" si="17" ref="Q53:AB54">Q33/Q13</f>
        <v>5127.726872246696</v>
      </c>
      <c r="R53" s="15">
        <f t="shared" si="17"/>
        <v>3960</v>
      </c>
      <c r="S53" s="15">
        <f t="shared" si="17"/>
        <v>3141.488888888889</v>
      </c>
      <c r="T53" s="15">
        <f t="shared" si="17"/>
        <v>4626.194503171248</v>
      </c>
      <c r="U53" s="15">
        <f t="shared" si="17"/>
        <v>4900.080459770115</v>
      </c>
      <c r="V53" s="15">
        <f t="shared" si="17"/>
        <v>3469.1466666666665</v>
      </c>
      <c r="W53" s="15">
        <f t="shared" si="17"/>
        <v>3417.410714285714</v>
      </c>
      <c r="X53" s="15">
        <f t="shared" si="17"/>
        <v>3213.48</v>
      </c>
      <c r="Y53" s="15">
        <f t="shared" si="17"/>
        <v>3204.8491379310344</v>
      </c>
      <c r="Z53" s="15">
        <f t="shared" si="17"/>
        <v>3743.5760869565215</v>
      </c>
      <c r="AA53" s="15">
        <f t="shared" si="17"/>
        <v>3291.0978260869565</v>
      </c>
      <c r="AB53" s="15">
        <f t="shared" si="17"/>
        <v>5558.784722222223</v>
      </c>
      <c r="AC53" s="15">
        <f t="shared" si="12"/>
        <v>4111.690035052578</v>
      </c>
    </row>
    <row r="54" spans="1:29" ht="12.75">
      <c r="A54" s="4" t="s">
        <v>17</v>
      </c>
      <c r="B54" s="15">
        <f>B34/B14</f>
        <v>5921.182426404996</v>
      </c>
      <c r="C54" s="15">
        <f t="shared" si="16"/>
        <v>6144.966605950212</v>
      </c>
      <c r="D54" s="15">
        <f t="shared" si="16"/>
        <v>6163.2561787072245</v>
      </c>
      <c r="E54" s="15">
        <f t="shared" si="16"/>
        <v>6730.358657243816</v>
      </c>
      <c r="F54" s="15">
        <f t="shared" si="16"/>
        <v>7214.416502946955</v>
      </c>
      <c r="G54" s="15">
        <f t="shared" si="16"/>
        <v>7409.404288702929</v>
      </c>
      <c r="H54" s="15">
        <f t="shared" si="16"/>
        <v>6961.0716723549485</v>
      </c>
      <c r="I54" s="15">
        <f>I34/I14</f>
        <v>7368.277813923227</v>
      </c>
      <c r="J54" s="15">
        <f t="shared" si="14"/>
        <v>7030.138466734212</v>
      </c>
      <c r="K54" s="15">
        <f t="shared" si="14"/>
        <v>7410.716799468792</v>
      </c>
      <c r="L54" s="15">
        <f t="shared" si="14"/>
        <v>7299.21690222094</v>
      </c>
      <c r="M54" s="15">
        <f t="shared" si="14"/>
        <v>8866.489710365853</v>
      </c>
      <c r="N54" s="15">
        <f t="shared" si="11"/>
        <v>7102.382443548131</v>
      </c>
      <c r="P54" s="4" t="s">
        <v>17</v>
      </c>
      <c r="Q54" s="15">
        <f t="shared" si="17"/>
        <v>3359.1423220973784</v>
      </c>
      <c r="R54" s="15">
        <f t="shared" si="17"/>
        <v>3229.007633587786</v>
      </c>
      <c r="S54" s="15">
        <f t="shared" si="17"/>
        <v>3693.7535211267605</v>
      </c>
      <c r="T54" s="15">
        <f t="shared" si="17"/>
        <v>2501.484949832776</v>
      </c>
      <c r="U54" s="15">
        <f t="shared" si="17"/>
        <v>2409.6821705426355</v>
      </c>
      <c r="V54" s="15">
        <f t="shared" si="17"/>
        <v>3725.909677419355</v>
      </c>
      <c r="W54" s="15">
        <f t="shared" si="17"/>
        <v>3479.5454545454545</v>
      </c>
      <c r="X54" s="15">
        <f t="shared" si="17"/>
        <v>3385.5194805194806</v>
      </c>
      <c r="Y54" s="15">
        <f t="shared" si="17"/>
        <v>3625.5421686746986</v>
      </c>
      <c r="Z54" s="15">
        <f t="shared" si="17"/>
        <v>3244.515306122449</v>
      </c>
      <c r="AA54" s="15">
        <f t="shared" si="17"/>
        <v>3190.970479704797</v>
      </c>
      <c r="AB54" s="15">
        <f t="shared" si="17"/>
        <v>3517.076923076923</v>
      </c>
      <c r="AC54" s="15">
        <f t="shared" si="12"/>
        <v>3252.9536773669242</v>
      </c>
    </row>
    <row r="55" spans="1:29" ht="12.75">
      <c r="A55" s="4" t="s">
        <v>18</v>
      </c>
      <c r="B55" s="15"/>
      <c r="C55" s="15">
        <v>28819.771</v>
      </c>
      <c r="D55" s="15">
        <v>30827.793</v>
      </c>
      <c r="E55" s="15">
        <v>25880.426</v>
      </c>
      <c r="F55" s="15">
        <v>6121.259</v>
      </c>
      <c r="G55" s="15"/>
      <c r="H55" s="15">
        <v>7565.585</v>
      </c>
      <c r="I55" s="15">
        <v>41280.986</v>
      </c>
      <c r="J55" s="15">
        <f t="shared" si="14"/>
        <v>5774.571428571428</v>
      </c>
      <c r="K55" s="15"/>
      <c r="L55" s="15">
        <f t="shared" si="14"/>
        <v>42177.4</v>
      </c>
      <c r="M55" s="15">
        <f t="shared" si="14"/>
        <v>28263.333333333332</v>
      </c>
      <c r="N55" s="15">
        <f t="shared" si="11"/>
        <v>16564.701912260967</v>
      </c>
      <c r="P55" s="4" t="s">
        <v>18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2.75">
      <c r="A56" s="4" t="s">
        <v>19</v>
      </c>
      <c r="B56" s="15">
        <v>23165.059</v>
      </c>
      <c r="C56" s="15">
        <v>10226.37</v>
      </c>
      <c r="D56" s="15">
        <v>10734.678</v>
      </c>
      <c r="E56" s="15">
        <v>19872.47</v>
      </c>
      <c r="F56" s="15">
        <v>25375.402</v>
      </c>
      <c r="G56" s="15">
        <v>8318.796</v>
      </c>
      <c r="H56" s="15">
        <v>11033.145</v>
      </c>
      <c r="I56" s="15">
        <v>28435.573</v>
      </c>
      <c r="J56" s="15">
        <f>J36/J16</f>
        <v>11024.5</v>
      </c>
      <c r="K56" s="15">
        <f>K36/K16</f>
        <v>21037</v>
      </c>
      <c r="L56" s="15">
        <f t="shared" si="14"/>
        <v>7910.357142857143</v>
      </c>
      <c r="M56" s="15">
        <f>M36/M16</f>
        <v>14230.4</v>
      </c>
      <c r="N56" s="15">
        <f t="shared" si="11"/>
        <v>13521.163366336634</v>
      </c>
      <c r="P56" s="4" t="s">
        <v>19</v>
      </c>
      <c r="Q56" s="15"/>
      <c r="R56" s="15"/>
      <c r="S56" s="15"/>
      <c r="T56" s="15">
        <f>T36/T16</f>
        <v>10074.857142857143</v>
      </c>
      <c r="U56" s="15">
        <v>11088.844</v>
      </c>
      <c r="V56" s="15">
        <v>10131.866</v>
      </c>
      <c r="W56" s="15">
        <v>9027.119</v>
      </c>
      <c r="X56" s="15"/>
      <c r="Y56" s="15">
        <f>Y36/Y16</f>
        <v>7349.5</v>
      </c>
      <c r="Z56" s="15">
        <f>Z36/Z16</f>
        <v>6812.066666666667</v>
      </c>
      <c r="AA56" s="15">
        <f>AA36/AA16</f>
        <v>8364.8</v>
      </c>
      <c r="AB56" s="15"/>
      <c r="AC56" s="15">
        <f t="shared" si="12"/>
        <v>9372.838235294117</v>
      </c>
    </row>
    <row r="57" spans="1:29" ht="12.75">
      <c r="A57" s="11" t="s">
        <v>26</v>
      </c>
      <c r="B57" s="16"/>
      <c r="C57" s="16"/>
      <c r="D57" s="16"/>
      <c r="E57" s="16"/>
      <c r="F57" s="16"/>
      <c r="G57" s="16"/>
      <c r="H57" s="16"/>
      <c r="I57" s="16"/>
      <c r="J57" s="18"/>
      <c r="K57" s="18"/>
      <c r="L57" s="18"/>
      <c r="M57" s="18"/>
      <c r="N57" s="18"/>
      <c r="P57" s="11" t="s">
        <v>35</v>
      </c>
      <c r="Q57" s="16"/>
      <c r="R57" s="16">
        <v>6767.998</v>
      </c>
      <c r="S57" s="16"/>
      <c r="T57" s="16"/>
      <c r="U57" s="16"/>
      <c r="V57" s="16">
        <f>V37/V17</f>
        <v>4602.75</v>
      </c>
      <c r="W57" s="16">
        <f>W37/W17</f>
        <v>4642.5</v>
      </c>
      <c r="X57" s="16"/>
      <c r="Y57" s="18"/>
      <c r="Z57" s="18">
        <f>Z37/Z17</f>
        <v>4207.5</v>
      </c>
      <c r="AA57" s="18"/>
      <c r="AB57" s="18"/>
      <c r="AC57" s="18">
        <f t="shared" si="12"/>
        <v>4663.978723404255</v>
      </c>
    </row>
    <row r="58" spans="1:29" ht="12.75">
      <c r="A58" s="1" t="s">
        <v>20</v>
      </c>
      <c r="B58" s="17">
        <f aca="true" t="shared" si="18" ref="B58:N58">B38/B18</f>
        <v>5811.906109931588</v>
      </c>
      <c r="C58" s="17">
        <f t="shared" si="18"/>
        <v>5855.4130892518915</v>
      </c>
      <c r="D58" s="17">
        <f t="shared" si="18"/>
        <v>6173.768760770798</v>
      </c>
      <c r="E58" s="17">
        <f t="shared" si="18"/>
        <v>6128.5857840070075</v>
      </c>
      <c r="F58" s="17">
        <f t="shared" si="18"/>
        <v>6252.509915783754</v>
      </c>
      <c r="G58" s="17">
        <f t="shared" si="18"/>
        <v>6351.160227542072</v>
      </c>
      <c r="H58" s="17">
        <f t="shared" si="18"/>
        <v>5713.208905030939</v>
      </c>
      <c r="I58" s="17">
        <f t="shared" si="18"/>
        <v>6040.750771730301</v>
      </c>
      <c r="J58" s="17"/>
      <c r="K58" s="17"/>
      <c r="L58" s="17"/>
      <c r="M58" s="17"/>
      <c r="N58" s="17">
        <f t="shared" si="18"/>
        <v>6382.0981228950905</v>
      </c>
      <c r="P58" s="1" t="s">
        <v>20</v>
      </c>
      <c r="Q58" s="17">
        <f aca="true" t="shared" si="19" ref="Q58:AB58">Q38/Q18</f>
        <v>4651.7985018726595</v>
      </c>
      <c r="R58" s="17">
        <f t="shared" si="19"/>
        <v>3721.681496062992</v>
      </c>
      <c r="S58" s="17">
        <f t="shared" si="19"/>
        <v>4317.8725490196075</v>
      </c>
      <c r="T58" s="17">
        <f t="shared" si="19"/>
        <v>3947.091340075853</v>
      </c>
      <c r="U58" s="17">
        <f t="shared" si="19"/>
        <v>4077.053347280335</v>
      </c>
      <c r="V58" s="17">
        <f t="shared" si="19"/>
        <v>4314.926654740609</v>
      </c>
      <c r="W58" s="17">
        <f t="shared" si="19"/>
        <v>3122.546430045398</v>
      </c>
      <c r="X58" s="17">
        <f t="shared" si="19"/>
        <v>3590.808866995074</v>
      </c>
      <c r="Y58" s="17">
        <f t="shared" si="19"/>
        <v>3664.901131625968</v>
      </c>
      <c r="Z58" s="17">
        <f t="shared" si="19"/>
        <v>4324.036129032258</v>
      </c>
      <c r="AA58" s="17">
        <f t="shared" si="19"/>
        <v>3493.5686666666666</v>
      </c>
      <c r="AB58" s="17">
        <f t="shared" si="19"/>
        <v>4380.8929487179485</v>
      </c>
      <c r="AC58" s="17">
        <f t="shared" si="12"/>
        <v>3878.9658855051134</v>
      </c>
    </row>
    <row r="59" spans="1:16" ht="12.75">
      <c r="A59" s="5" t="s">
        <v>24</v>
      </c>
      <c r="P59" s="5" t="s">
        <v>24</v>
      </c>
    </row>
  </sheetData>
  <printOptions/>
  <pageMargins left="0.75" right="0.75" top="1" bottom="1" header="0" footer="0"/>
  <pageSetup horizontalDpi="600" verticalDpi="600" orientation="portrait" paperSize="9" r:id="rId2"/>
  <ignoredErrors>
    <ignoredError sqref="R38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selection activeCell="A2" sqref="A2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14.140625" style="0" bestFit="1" customWidth="1"/>
  </cols>
  <sheetData>
    <row r="1" spans="1:16" ht="12.75">
      <c r="A1" t="s">
        <v>58</v>
      </c>
      <c r="P1" t="s">
        <v>54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</row>
    <row r="4" spans="1:29" ht="12.75">
      <c r="A4" s="4" t="s">
        <v>11</v>
      </c>
      <c r="B4" s="8"/>
      <c r="C4" s="19">
        <v>1</v>
      </c>
      <c r="D4" s="19"/>
      <c r="E4" s="19"/>
      <c r="F4" s="22">
        <v>1</v>
      </c>
      <c r="G4" s="22">
        <v>1</v>
      </c>
      <c r="H4" s="22">
        <v>7</v>
      </c>
      <c r="I4" s="22">
        <v>16</v>
      </c>
      <c r="J4" s="22">
        <v>2</v>
      </c>
      <c r="K4" s="8">
        <v>26</v>
      </c>
      <c r="L4" s="8">
        <v>28</v>
      </c>
      <c r="M4" s="8">
        <v>4</v>
      </c>
      <c r="N4" s="8">
        <f>SUM(B4:M4)</f>
        <v>86</v>
      </c>
      <c r="P4" s="4" t="s">
        <v>11</v>
      </c>
      <c r="Q4" s="8"/>
      <c r="R4" s="8">
        <v>4</v>
      </c>
      <c r="S4" s="8">
        <v>19</v>
      </c>
      <c r="T4" s="8">
        <v>2</v>
      </c>
      <c r="U4" s="8">
        <v>19</v>
      </c>
      <c r="V4" s="8">
        <v>44</v>
      </c>
      <c r="W4" s="8">
        <v>34</v>
      </c>
      <c r="X4" s="8">
        <v>42</v>
      </c>
      <c r="Y4" s="8">
        <v>92</v>
      </c>
      <c r="Z4" s="8">
        <v>47</v>
      </c>
      <c r="AA4" s="8">
        <v>25</v>
      </c>
      <c r="AB4" s="8">
        <v>80</v>
      </c>
      <c r="AC4" s="8">
        <f>SUM(Q4:AB4)</f>
        <v>408</v>
      </c>
    </row>
    <row r="5" spans="1:29" ht="12.75">
      <c r="A5" s="4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4" t="s">
        <v>9</v>
      </c>
      <c r="Q5" s="8">
        <v>2</v>
      </c>
      <c r="R5" s="8"/>
      <c r="S5" s="8"/>
      <c r="T5" s="8"/>
      <c r="U5" s="8"/>
      <c r="V5" s="8"/>
      <c r="W5" s="8"/>
      <c r="X5" s="8"/>
      <c r="Y5" s="8"/>
      <c r="Z5" s="8">
        <v>4</v>
      </c>
      <c r="AA5" s="8">
        <v>2</v>
      </c>
      <c r="AB5" s="8"/>
      <c r="AC5" s="8">
        <f aca="true" t="shared" si="0" ref="AC5:AC11">SUM(Q5:AB5)</f>
        <v>8</v>
      </c>
    </row>
    <row r="6" spans="1:29" ht="12.75">
      <c r="A6" s="4" t="s">
        <v>56</v>
      </c>
      <c r="B6" s="8"/>
      <c r="C6" s="8"/>
      <c r="D6" s="8"/>
      <c r="E6" s="8">
        <v>1</v>
      </c>
      <c r="F6" s="8"/>
      <c r="G6" s="8"/>
      <c r="H6" s="8"/>
      <c r="I6" s="8"/>
      <c r="J6" s="8"/>
      <c r="K6" s="8"/>
      <c r="L6" s="8"/>
      <c r="M6" s="8"/>
      <c r="N6" s="8">
        <f aca="true" t="shared" si="1" ref="N6:N13">SUM(B6:M6)</f>
        <v>1</v>
      </c>
      <c r="P6" s="4" t="s">
        <v>56</v>
      </c>
      <c r="Q6" s="8">
        <v>2</v>
      </c>
      <c r="R6" s="8"/>
      <c r="S6" s="8"/>
      <c r="T6" s="8">
        <v>6</v>
      </c>
      <c r="U6" s="8"/>
      <c r="V6" s="8"/>
      <c r="W6" s="8"/>
      <c r="X6" s="8">
        <v>2</v>
      </c>
      <c r="Y6" s="8">
        <v>18</v>
      </c>
      <c r="Z6" s="8"/>
      <c r="AA6" s="8"/>
      <c r="AB6" s="8">
        <v>9</v>
      </c>
      <c r="AC6" s="8">
        <f t="shared" si="0"/>
        <v>37</v>
      </c>
    </row>
    <row r="7" spans="1:29" ht="12.75">
      <c r="A7" s="4" t="s">
        <v>14</v>
      </c>
      <c r="B7" s="8">
        <v>102</v>
      </c>
      <c r="C7" s="8">
        <v>70</v>
      </c>
      <c r="D7" s="8">
        <v>120</v>
      </c>
      <c r="E7" s="8">
        <v>167</v>
      </c>
      <c r="F7" s="8">
        <v>186</v>
      </c>
      <c r="G7" s="8">
        <v>187</v>
      </c>
      <c r="H7" s="8">
        <v>68</v>
      </c>
      <c r="I7" s="8">
        <v>185</v>
      </c>
      <c r="J7" s="8">
        <v>223</v>
      </c>
      <c r="K7" s="8">
        <v>162</v>
      </c>
      <c r="L7" s="8">
        <v>171</v>
      </c>
      <c r="M7" s="8">
        <v>277</v>
      </c>
      <c r="N7" s="8">
        <f t="shared" si="1"/>
        <v>1918</v>
      </c>
      <c r="P7" s="4" t="s">
        <v>14</v>
      </c>
      <c r="Q7" s="8">
        <v>443</v>
      </c>
      <c r="R7" s="8">
        <v>413</v>
      </c>
      <c r="S7" s="8">
        <v>512</v>
      </c>
      <c r="T7" s="8">
        <v>300</v>
      </c>
      <c r="U7" s="8">
        <v>216</v>
      </c>
      <c r="V7" s="8">
        <v>151</v>
      </c>
      <c r="W7" s="8">
        <v>370</v>
      </c>
      <c r="X7" s="8">
        <v>568</v>
      </c>
      <c r="Y7" s="8">
        <v>551</v>
      </c>
      <c r="Z7" s="8">
        <v>311</v>
      </c>
      <c r="AA7" s="8">
        <v>376</v>
      </c>
      <c r="AB7" s="8">
        <v>897</v>
      </c>
      <c r="AC7" s="8">
        <f t="shared" si="0"/>
        <v>5108</v>
      </c>
    </row>
    <row r="8" spans="1:29" ht="12.75">
      <c r="A8" s="4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4" t="s">
        <v>17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4" t="s">
        <v>55</v>
      </c>
      <c r="B9" s="8">
        <v>10</v>
      </c>
      <c r="C9" s="8">
        <v>30</v>
      </c>
      <c r="D9" s="8">
        <v>16</v>
      </c>
      <c r="E9" s="8">
        <v>40</v>
      </c>
      <c r="F9" s="8">
        <v>43</v>
      </c>
      <c r="G9" s="8">
        <v>32</v>
      </c>
      <c r="H9" s="8"/>
      <c r="I9" s="8"/>
      <c r="J9" s="8"/>
      <c r="K9" s="8"/>
      <c r="L9" s="8"/>
      <c r="M9" s="8"/>
      <c r="N9" s="8">
        <f t="shared" si="1"/>
        <v>171</v>
      </c>
      <c r="P9" s="4" t="s">
        <v>55</v>
      </c>
      <c r="Q9" s="8">
        <v>22</v>
      </c>
      <c r="R9" s="8"/>
      <c r="S9" s="8"/>
      <c r="T9" s="8">
        <v>26</v>
      </c>
      <c r="U9" s="8"/>
      <c r="V9" s="8">
        <v>13</v>
      </c>
      <c r="W9" s="8"/>
      <c r="X9" s="8"/>
      <c r="Y9" s="8"/>
      <c r="Z9" s="8"/>
      <c r="AA9" s="8"/>
      <c r="AB9" s="8"/>
      <c r="AC9" s="8">
        <f t="shared" si="0"/>
        <v>61</v>
      </c>
    </row>
    <row r="10" spans="1:29" ht="12.75">
      <c r="A10" s="4" t="s">
        <v>18</v>
      </c>
      <c r="B10" s="8">
        <v>59</v>
      </c>
      <c r="C10" s="8">
        <v>56</v>
      </c>
      <c r="D10" s="8">
        <v>132</v>
      </c>
      <c r="E10" s="8">
        <v>109</v>
      </c>
      <c r="F10" s="8">
        <v>85</v>
      </c>
      <c r="G10" s="8">
        <v>52</v>
      </c>
      <c r="H10" s="8">
        <v>39</v>
      </c>
      <c r="I10" s="8">
        <v>71</v>
      </c>
      <c r="J10" s="8">
        <v>67</v>
      </c>
      <c r="K10" s="8">
        <v>99</v>
      </c>
      <c r="L10" s="8">
        <v>104</v>
      </c>
      <c r="M10" s="8">
        <v>118</v>
      </c>
      <c r="N10" s="8">
        <f t="shared" si="1"/>
        <v>991</v>
      </c>
      <c r="P10" s="4" t="s">
        <v>18</v>
      </c>
      <c r="Q10" s="8">
        <v>39</v>
      </c>
      <c r="R10" s="8">
        <v>5</v>
      </c>
      <c r="S10" s="8">
        <v>14</v>
      </c>
      <c r="T10" s="8"/>
      <c r="U10" s="8">
        <v>20</v>
      </c>
      <c r="V10" s="8">
        <v>5</v>
      </c>
      <c r="W10" s="8">
        <v>9</v>
      </c>
      <c r="X10" s="8">
        <v>13</v>
      </c>
      <c r="Y10" s="8">
        <v>3</v>
      </c>
      <c r="Z10" s="8">
        <v>25</v>
      </c>
      <c r="AA10" s="8">
        <v>43</v>
      </c>
      <c r="AB10" s="8">
        <v>75</v>
      </c>
      <c r="AC10" s="8">
        <f t="shared" si="0"/>
        <v>251</v>
      </c>
    </row>
    <row r="11" spans="1:29" s="44" customFormat="1" ht="12.75">
      <c r="A11" s="22" t="s">
        <v>19</v>
      </c>
      <c r="B11" s="22">
        <v>73</v>
      </c>
      <c r="C11" s="22">
        <v>39</v>
      </c>
      <c r="D11" s="22">
        <v>80</v>
      </c>
      <c r="E11" s="22">
        <v>130</v>
      </c>
      <c r="F11" s="22">
        <v>88</v>
      </c>
      <c r="G11" s="22">
        <v>58</v>
      </c>
      <c r="H11" s="22">
        <v>94</v>
      </c>
      <c r="I11" s="22">
        <v>48</v>
      </c>
      <c r="J11" s="22">
        <v>69</v>
      </c>
      <c r="K11" s="22">
        <v>39</v>
      </c>
      <c r="L11" s="22">
        <v>121</v>
      </c>
      <c r="M11" s="22">
        <v>119</v>
      </c>
      <c r="N11" s="8">
        <f t="shared" si="1"/>
        <v>958</v>
      </c>
      <c r="P11" s="22" t="s">
        <v>19</v>
      </c>
      <c r="Q11" s="22">
        <f>Q26/Q41</f>
        <v>27.49315432900996</v>
      </c>
      <c r="R11" s="22">
        <v>4</v>
      </c>
      <c r="S11" s="22">
        <v>1</v>
      </c>
      <c r="T11" s="22">
        <v>2</v>
      </c>
      <c r="U11" s="22">
        <v>1</v>
      </c>
      <c r="V11" s="22"/>
      <c r="W11" s="22">
        <f>W26/W41</f>
        <v>2.8169718427220696</v>
      </c>
      <c r="X11" s="22"/>
      <c r="Y11" s="22"/>
      <c r="Z11" s="22">
        <v>18</v>
      </c>
      <c r="AA11" s="22"/>
      <c r="AB11" s="22"/>
      <c r="AC11" s="8">
        <f t="shared" si="0"/>
        <v>56.31012617173203</v>
      </c>
    </row>
    <row r="12" spans="1:29" s="44" customFormat="1" ht="12.75">
      <c r="A12" s="22" t="s">
        <v>97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8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8"/>
    </row>
    <row r="13" spans="1:29" ht="12.75">
      <c r="A13" s="1" t="s">
        <v>20</v>
      </c>
      <c r="B13" s="10">
        <f aca="true" t="shared" si="2" ref="B13:M13">SUM(B4:B11)</f>
        <v>244</v>
      </c>
      <c r="C13" s="10">
        <f t="shared" si="2"/>
        <v>196</v>
      </c>
      <c r="D13" s="10">
        <f t="shared" si="2"/>
        <v>348</v>
      </c>
      <c r="E13" s="10">
        <f t="shared" si="2"/>
        <v>447</v>
      </c>
      <c r="F13" s="10">
        <f t="shared" si="2"/>
        <v>403</v>
      </c>
      <c r="G13" s="10">
        <f t="shared" si="2"/>
        <v>330</v>
      </c>
      <c r="H13" s="10">
        <f t="shared" si="2"/>
        <v>208</v>
      </c>
      <c r="I13" s="10">
        <f t="shared" si="2"/>
        <v>320</v>
      </c>
      <c r="J13" s="10">
        <f t="shared" si="2"/>
        <v>361</v>
      </c>
      <c r="K13" s="10">
        <f t="shared" si="2"/>
        <v>326</v>
      </c>
      <c r="L13" s="10">
        <f t="shared" si="2"/>
        <v>424</v>
      </c>
      <c r="M13" s="10">
        <f t="shared" si="2"/>
        <v>518</v>
      </c>
      <c r="N13" s="10">
        <f t="shared" si="1"/>
        <v>4125</v>
      </c>
      <c r="P13" s="1" t="s">
        <v>20</v>
      </c>
      <c r="Q13" s="10">
        <f aca="true" t="shared" si="3" ref="Q13:AC13">SUM(Q4:Q11)</f>
        <v>535.4931543290099</v>
      </c>
      <c r="R13" s="10">
        <f t="shared" si="3"/>
        <v>426</v>
      </c>
      <c r="S13" s="10">
        <f t="shared" si="3"/>
        <v>546</v>
      </c>
      <c r="T13" s="10">
        <f t="shared" si="3"/>
        <v>336</v>
      </c>
      <c r="U13" s="10">
        <f t="shared" si="3"/>
        <v>256</v>
      </c>
      <c r="V13" s="10">
        <f t="shared" si="3"/>
        <v>213</v>
      </c>
      <c r="W13" s="10">
        <f t="shared" si="3"/>
        <v>415.81697184272207</v>
      </c>
      <c r="X13" s="10">
        <f t="shared" si="3"/>
        <v>625</v>
      </c>
      <c r="Y13" s="10">
        <f t="shared" si="3"/>
        <v>664</v>
      </c>
      <c r="Z13" s="10">
        <f t="shared" si="3"/>
        <v>405</v>
      </c>
      <c r="AA13" s="10">
        <f t="shared" si="3"/>
        <v>446</v>
      </c>
      <c r="AB13" s="10">
        <f t="shared" si="3"/>
        <v>1061</v>
      </c>
      <c r="AC13" s="10">
        <f t="shared" si="3"/>
        <v>5929.310126171732</v>
      </c>
    </row>
    <row r="14" spans="1:16" ht="12.75">
      <c r="A14" s="5" t="s">
        <v>24</v>
      </c>
      <c r="P14" s="5" t="s">
        <v>24</v>
      </c>
    </row>
    <row r="16" spans="1:16" ht="12.75">
      <c r="A16" t="s">
        <v>58</v>
      </c>
      <c r="P16" t="s">
        <v>54</v>
      </c>
    </row>
    <row r="17" spans="1:16" ht="12.75">
      <c r="A17" t="s">
        <v>31</v>
      </c>
      <c r="P17" t="s">
        <v>31</v>
      </c>
    </row>
    <row r="18" spans="1:29" ht="12.75">
      <c r="A18" s="1" t="s">
        <v>21</v>
      </c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  <c r="J18" s="2" t="s">
        <v>8</v>
      </c>
      <c r="K18" s="2" t="s">
        <v>28</v>
      </c>
      <c r="L18" s="2" t="s">
        <v>29</v>
      </c>
      <c r="M18" s="2" t="s">
        <v>30</v>
      </c>
      <c r="N18" s="6" t="s">
        <v>25</v>
      </c>
      <c r="P18" s="1" t="s">
        <v>21</v>
      </c>
      <c r="Q18" s="2" t="s">
        <v>0</v>
      </c>
      <c r="R18" s="2" t="s">
        <v>1</v>
      </c>
      <c r="S18" s="2" t="s">
        <v>2</v>
      </c>
      <c r="T18" s="2" t="s">
        <v>3</v>
      </c>
      <c r="U18" s="2" t="s">
        <v>4</v>
      </c>
      <c r="V18" s="2" t="s">
        <v>5</v>
      </c>
      <c r="W18" s="2" t="s">
        <v>6</v>
      </c>
      <c r="X18" s="2" t="s">
        <v>7</v>
      </c>
      <c r="Y18" s="2" t="s">
        <v>8</v>
      </c>
      <c r="Z18" s="2" t="s">
        <v>28</v>
      </c>
      <c r="AA18" s="2" t="s">
        <v>29</v>
      </c>
      <c r="AB18" s="2" t="s">
        <v>30</v>
      </c>
      <c r="AC18" s="6" t="s">
        <v>25</v>
      </c>
    </row>
    <row r="19" spans="1:29" ht="12.75">
      <c r="A19" s="4" t="s">
        <v>11</v>
      </c>
      <c r="B19" s="8"/>
      <c r="C19" s="8">
        <v>11572</v>
      </c>
      <c r="D19" s="8"/>
      <c r="E19" s="8"/>
      <c r="F19" s="8">
        <v>27484</v>
      </c>
      <c r="G19" s="8">
        <v>13706</v>
      </c>
      <c r="H19" s="8">
        <v>98706</v>
      </c>
      <c r="I19" s="8">
        <v>86667</v>
      </c>
      <c r="J19" s="8">
        <v>35418</v>
      </c>
      <c r="K19" s="8">
        <v>217874</v>
      </c>
      <c r="L19" s="8">
        <v>169978</v>
      </c>
      <c r="M19" s="8">
        <v>76576</v>
      </c>
      <c r="N19" s="8">
        <f>SUM(B19:M19)</f>
        <v>737981</v>
      </c>
      <c r="P19" s="4" t="s">
        <v>11</v>
      </c>
      <c r="Q19" s="8"/>
      <c r="R19" s="8">
        <v>14244</v>
      </c>
      <c r="S19" s="8">
        <v>309026</v>
      </c>
      <c r="T19" s="8">
        <v>28197</v>
      </c>
      <c r="U19" s="8">
        <v>303258</v>
      </c>
      <c r="V19" s="8">
        <v>391921</v>
      </c>
      <c r="W19" s="8">
        <v>316796</v>
      </c>
      <c r="X19" s="8">
        <v>307752</v>
      </c>
      <c r="Y19" s="8">
        <v>658059</v>
      </c>
      <c r="Z19" s="8">
        <v>286199</v>
      </c>
      <c r="AA19" s="8">
        <v>93150</v>
      </c>
      <c r="AB19" s="8">
        <v>801142</v>
      </c>
      <c r="AC19" s="8">
        <f>SUM(Q19:AB19)</f>
        <v>3509744</v>
      </c>
    </row>
    <row r="20" spans="1:29" ht="12.75">
      <c r="A20" s="4" t="s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3122</v>
      </c>
      <c r="N20" s="8">
        <f aca="true" t="shared" si="4" ref="N20:N28">SUM(B20:M20)</f>
        <v>3122</v>
      </c>
      <c r="P20" s="4" t="s">
        <v>9</v>
      </c>
      <c r="Q20" s="8">
        <f>2*1309</f>
        <v>2618</v>
      </c>
      <c r="R20" s="8"/>
      <c r="S20" s="8"/>
      <c r="T20" s="8">
        <v>1294</v>
      </c>
      <c r="U20" s="8"/>
      <c r="V20" s="8">
        <v>1216</v>
      </c>
      <c r="W20" s="8"/>
      <c r="X20" s="8"/>
      <c r="Y20" s="8"/>
      <c r="Z20" s="8">
        <v>26447</v>
      </c>
      <c r="AA20" s="8">
        <f>4713+1178</f>
        <v>5891</v>
      </c>
      <c r="AB20" s="8"/>
      <c r="AC20" s="8">
        <f aca="true" t="shared" si="5" ref="AC20:AC26">SUM(Q20:AB20)</f>
        <v>37466</v>
      </c>
    </row>
    <row r="21" spans="1:29" ht="12.75">
      <c r="A21" s="4" t="s">
        <v>56</v>
      </c>
      <c r="B21" s="8"/>
      <c r="C21" s="8"/>
      <c r="D21" s="8"/>
      <c r="E21" s="8">
        <v>1834</v>
      </c>
      <c r="F21" s="8"/>
      <c r="G21" s="8"/>
      <c r="H21" s="8"/>
      <c r="I21" s="8"/>
      <c r="J21" s="8"/>
      <c r="K21" s="8"/>
      <c r="L21" s="8"/>
      <c r="M21" s="8"/>
      <c r="N21" s="8">
        <f t="shared" si="4"/>
        <v>1834</v>
      </c>
      <c r="P21" s="4" t="s">
        <v>56</v>
      </c>
      <c r="Q21" s="8">
        <v>20484</v>
      </c>
      <c r="R21" s="8"/>
      <c r="S21" s="8"/>
      <c r="T21" s="8">
        <v>11366</v>
      </c>
      <c r="U21" s="8"/>
      <c r="V21" s="8"/>
      <c r="W21" s="8"/>
      <c r="X21" s="8">
        <v>6138</v>
      </c>
      <c r="Y21" s="8">
        <v>113394</v>
      </c>
      <c r="Z21" s="8"/>
      <c r="AA21" s="8"/>
      <c r="AB21" s="8">
        <v>51134</v>
      </c>
      <c r="AC21" s="8">
        <f t="shared" si="5"/>
        <v>202516</v>
      </c>
    </row>
    <row r="22" spans="1:29" ht="12.75">
      <c r="A22" s="4" t="s">
        <v>14</v>
      </c>
      <c r="B22" s="8">
        <v>276588</v>
      </c>
      <c r="C22" s="8">
        <v>192964</v>
      </c>
      <c r="D22" s="8">
        <v>349056</v>
      </c>
      <c r="E22" s="8">
        <v>492577</v>
      </c>
      <c r="F22" s="8">
        <v>500821</v>
      </c>
      <c r="G22" s="8">
        <v>488794</v>
      </c>
      <c r="H22" s="8">
        <v>253298</v>
      </c>
      <c r="I22" s="8">
        <v>488039</v>
      </c>
      <c r="J22" s="8">
        <v>618963</v>
      </c>
      <c r="K22" s="8">
        <v>504905</v>
      </c>
      <c r="L22" s="8">
        <v>506286</v>
      </c>
      <c r="M22" s="8">
        <v>889046</v>
      </c>
      <c r="N22" s="8">
        <f t="shared" si="4"/>
        <v>5561337</v>
      </c>
      <c r="P22" s="4" t="s">
        <v>14</v>
      </c>
      <c r="Q22" s="8">
        <v>1019141</v>
      </c>
      <c r="R22" s="8">
        <v>924800</v>
      </c>
      <c r="S22" s="8">
        <v>1112969</v>
      </c>
      <c r="T22" s="8">
        <v>706129</v>
      </c>
      <c r="U22" s="8">
        <v>526089</v>
      </c>
      <c r="V22" s="8">
        <v>362798</v>
      </c>
      <c r="W22" s="8">
        <v>967902</v>
      </c>
      <c r="X22" s="8">
        <v>1381038</v>
      </c>
      <c r="Y22" s="8">
        <v>1367931</v>
      </c>
      <c r="Z22" s="8">
        <v>953045</v>
      </c>
      <c r="AA22" s="8">
        <v>1058489</v>
      </c>
      <c r="AB22" s="8">
        <v>1884965</v>
      </c>
      <c r="AC22" s="8">
        <f t="shared" si="5"/>
        <v>12265296</v>
      </c>
    </row>
    <row r="23" spans="1:29" ht="12.75">
      <c r="A23" s="4" t="s">
        <v>17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v>558</v>
      </c>
      <c r="M23" s="8">
        <v>1430</v>
      </c>
      <c r="N23" s="8">
        <f t="shared" si="4"/>
        <v>1988</v>
      </c>
      <c r="P23" s="4" t="s">
        <v>17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2.75">
      <c r="A24" s="4" t="s">
        <v>55</v>
      </c>
      <c r="B24" s="8">
        <v>23357</v>
      </c>
      <c r="C24" s="8">
        <v>75113</v>
      </c>
      <c r="D24" s="8">
        <v>42206</v>
      </c>
      <c r="E24" s="8">
        <v>99025</v>
      </c>
      <c r="F24" s="8">
        <v>107039</v>
      </c>
      <c r="G24" s="8">
        <v>78357</v>
      </c>
      <c r="H24" s="8"/>
      <c r="I24" s="8"/>
      <c r="J24" s="8"/>
      <c r="K24" s="8"/>
      <c r="L24" s="8"/>
      <c r="M24" s="8"/>
      <c r="N24" s="8">
        <f t="shared" si="4"/>
        <v>425097</v>
      </c>
      <c r="P24" s="4" t="s">
        <v>55</v>
      </c>
      <c r="Q24" s="8">
        <v>52385</v>
      </c>
      <c r="R24" s="8"/>
      <c r="S24" s="8"/>
      <c r="T24" s="8">
        <v>56290</v>
      </c>
      <c r="U24" s="8"/>
      <c r="V24" s="8">
        <v>26308</v>
      </c>
      <c r="W24" s="8"/>
      <c r="X24" s="8"/>
      <c r="Y24" s="8"/>
      <c r="Z24" s="8"/>
      <c r="AA24" s="8"/>
      <c r="AB24" s="8"/>
      <c r="AC24" s="8">
        <f t="shared" si="5"/>
        <v>134983</v>
      </c>
    </row>
    <row r="25" spans="1:29" ht="12.75">
      <c r="A25" s="4" t="s">
        <v>18</v>
      </c>
      <c r="B25" s="8">
        <v>549563</v>
      </c>
      <c r="C25" s="8">
        <v>593013</v>
      </c>
      <c r="D25" s="8">
        <v>1284804</v>
      </c>
      <c r="E25" s="8">
        <v>1050826</v>
      </c>
      <c r="F25" s="8">
        <v>692331</v>
      </c>
      <c r="G25" s="8">
        <v>545170</v>
      </c>
      <c r="H25" s="8">
        <v>397290</v>
      </c>
      <c r="I25" s="8">
        <v>547402</v>
      </c>
      <c r="J25" s="8">
        <v>616779</v>
      </c>
      <c r="K25" s="8">
        <v>870596</v>
      </c>
      <c r="L25" s="8">
        <v>877091</v>
      </c>
      <c r="M25" s="8">
        <v>1088520</v>
      </c>
      <c r="N25" s="8">
        <f t="shared" si="4"/>
        <v>9113385</v>
      </c>
      <c r="P25" s="4" t="s">
        <v>18</v>
      </c>
      <c r="Q25" s="8">
        <v>103520</v>
      </c>
      <c r="R25" s="8">
        <v>44433</v>
      </c>
      <c r="S25" s="8">
        <v>137067</v>
      </c>
      <c r="T25" s="8">
        <v>4302</v>
      </c>
      <c r="U25" s="8">
        <v>72392</v>
      </c>
      <c r="V25" s="8">
        <v>69894</v>
      </c>
      <c r="W25" s="8">
        <v>24742</v>
      </c>
      <c r="X25" s="8">
        <v>91544</v>
      </c>
      <c r="Y25" s="8">
        <v>33231</v>
      </c>
      <c r="Z25" s="8">
        <v>63250</v>
      </c>
      <c r="AA25" s="8">
        <v>192815</v>
      </c>
      <c r="AB25" s="8">
        <v>416162</v>
      </c>
      <c r="AC25" s="8">
        <f t="shared" si="5"/>
        <v>1253352</v>
      </c>
    </row>
    <row r="26" spans="1:29" ht="12.75">
      <c r="A26" s="4" t="s">
        <v>19</v>
      </c>
      <c r="B26" s="8">
        <v>453398</v>
      </c>
      <c r="C26" s="8">
        <v>210258</v>
      </c>
      <c r="D26" s="8">
        <v>437758</v>
      </c>
      <c r="E26" s="8">
        <v>743685</v>
      </c>
      <c r="F26" s="8">
        <v>530500</v>
      </c>
      <c r="G26" s="8">
        <v>289610</v>
      </c>
      <c r="H26" s="8">
        <v>537702</v>
      </c>
      <c r="I26" s="8">
        <v>270727</v>
      </c>
      <c r="J26" s="8">
        <v>430439</v>
      </c>
      <c r="K26" s="8">
        <v>209876</v>
      </c>
      <c r="L26" s="8">
        <v>747681</v>
      </c>
      <c r="M26" s="8">
        <v>668757</v>
      </c>
      <c r="N26" s="8">
        <f t="shared" si="4"/>
        <v>5530391</v>
      </c>
      <c r="P26" s="4" t="s">
        <v>19</v>
      </c>
      <c r="Q26" s="8">
        <v>86608</v>
      </c>
      <c r="R26" s="8">
        <v>31733</v>
      </c>
      <c r="S26" s="8">
        <v>8402</v>
      </c>
      <c r="T26" s="8">
        <v>21058</v>
      </c>
      <c r="U26" s="8">
        <v>12234</v>
      </c>
      <c r="V26" s="8"/>
      <c r="W26" s="8">
        <v>22870</v>
      </c>
      <c r="X26" s="8"/>
      <c r="Y26" s="8"/>
      <c r="Z26" s="8">
        <v>137671</v>
      </c>
      <c r="AA26" s="8"/>
      <c r="AB26" s="8"/>
      <c r="AC26" s="8">
        <f t="shared" si="5"/>
        <v>320576</v>
      </c>
    </row>
    <row r="27" spans="1:29" ht="12.75">
      <c r="A27" s="4" t="s">
        <v>97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>
        <v>4508</v>
      </c>
      <c r="M27" s="8"/>
      <c r="N27" s="8">
        <f t="shared" si="4"/>
        <v>4508</v>
      </c>
      <c r="P27" s="4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.75">
      <c r="A28" s="1" t="s">
        <v>20</v>
      </c>
      <c r="B28" s="10">
        <f>SUM(B19:B27)</f>
        <v>1302906</v>
      </c>
      <c r="C28" s="10">
        <f aca="true" t="shared" si="6" ref="C28:M28">SUM(C19:C27)</f>
        <v>1082920</v>
      </c>
      <c r="D28" s="10">
        <f t="shared" si="6"/>
        <v>2113824</v>
      </c>
      <c r="E28" s="10">
        <f t="shared" si="6"/>
        <v>2387947</v>
      </c>
      <c r="F28" s="10">
        <f t="shared" si="6"/>
        <v>1858175</v>
      </c>
      <c r="G28" s="10">
        <f t="shared" si="6"/>
        <v>1415637</v>
      </c>
      <c r="H28" s="10">
        <f t="shared" si="6"/>
        <v>1286996</v>
      </c>
      <c r="I28" s="10">
        <f t="shared" si="6"/>
        <v>1392835</v>
      </c>
      <c r="J28" s="10">
        <f t="shared" si="6"/>
        <v>1701599</v>
      </c>
      <c r="K28" s="10">
        <f t="shared" si="6"/>
        <v>1803251</v>
      </c>
      <c r="L28" s="10">
        <f t="shared" si="6"/>
        <v>2306102</v>
      </c>
      <c r="M28" s="10">
        <f t="shared" si="6"/>
        <v>2727451</v>
      </c>
      <c r="N28" s="10">
        <f t="shared" si="4"/>
        <v>21379643</v>
      </c>
      <c r="P28" s="1" t="s">
        <v>20</v>
      </c>
      <c r="Q28" s="10">
        <f aca="true" t="shared" si="7" ref="Q28:AC28">SUM(Q19:Q26)</f>
        <v>1284756</v>
      </c>
      <c r="R28" s="10">
        <f t="shared" si="7"/>
        <v>1015210</v>
      </c>
      <c r="S28" s="10">
        <f t="shared" si="7"/>
        <v>1567464</v>
      </c>
      <c r="T28" s="10">
        <f t="shared" si="7"/>
        <v>828636</v>
      </c>
      <c r="U28" s="10">
        <f t="shared" si="7"/>
        <v>913973</v>
      </c>
      <c r="V28" s="10">
        <f t="shared" si="7"/>
        <v>852137</v>
      </c>
      <c r="W28" s="10">
        <f t="shared" si="7"/>
        <v>1332310</v>
      </c>
      <c r="X28" s="10">
        <f t="shared" si="7"/>
        <v>1786472</v>
      </c>
      <c r="Y28" s="10">
        <f t="shared" si="7"/>
        <v>2172615</v>
      </c>
      <c r="Z28" s="10">
        <f t="shared" si="7"/>
        <v>1466612</v>
      </c>
      <c r="AA28" s="10">
        <f t="shared" si="7"/>
        <v>1350345</v>
      </c>
      <c r="AB28" s="10">
        <f t="shared" si="7"/>
        <v>3153403</v>
      </c>
      <c r="AC28" s="10">
        <f t="shared" si="7"/>
        <v>17723933</v>
      </c>
    </row>
    <row r="29" spans="1:16" ht="12.75">
      <c r="A29" s="5" t="s">
        <v>24</v>
      </c>
      <c r="P29" s="5" t="s">
        <v>24</v>
      </c>
    </row>
    <row r="31" spans="1:16" ht="12.75">
      <c r="A31" t="s">
        <v>58</v>
      </c>
      <c r="P31" t="s">
        <v>54</v>
      </c>
    </row>
    <row r="32" spans="1:16" ht="12.75">
      <c r="A32" t="s">
        <v>32</v>
      </c>
      <c r="P32" t="s">
        <v>32</v>
      </c>
    </row>
    <row r="33" spans="1:29" ht="12.75">
      <c r="A33" s="1" t="s">
        <v>21</v>
      </c>
      <c r="B33" s="2" t="s">
        <v>0</v>
      </c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28</v>
      </c>
      <c r="L33" s="2" t="s">
        <v>29</v>
      </c>
      <c r="M33" s="2" t="s">
        <v>30</v>
      </c>
      <c r="N33" s="6" t="s">
        <v>25</v>
      </c>
      <c r="P33" s="1" t="s">
        <v>21</v>
      </c>
      <c r="Q33" s="2" t="s">
        <v>0</v>
      </c>
      <c r="R33" s="2" t="s">
        <v>1</v>
      </c>
      <c r="S33" s="2" t="s">
        <v>2</v>
      </c>
      <c r="T33" s="2" t="s">
        <v>3</v>
      </c>
      <c r="U33" s="2" t="s">
        <v>4</v>
      </c>
      <c r="V33" s="2" t="s">
        <v>5</v>
      </c>
      <c r="W33" s="2" t="s">
        <v>6</v>
      </c>
      <c r="X33" s="2" t="s">
        <v>7</v>
      </c>
      <c r="Y33" s="2" t="s">
        <v>8</v>
      </c>
      <c r="Z33" s="2" t="s">
        <v>28</v>
      </c>
      <c r="AA33" s="2" t="s">
        <v>29</v>
      </c>
      <c r="AB33" s="2" t="s">
        <v>30</v>
      </c>
      <c r="AC33" s="6" t="s">
        <v>25</v>
      </c>
    </row>
    <row r="34" spans="1:29" ht="12.75">
      <c r="A34" s="4" t="s">
        <v>11</v>
      </c>
      <c r="B34" s="15"/>
      <c r="C34" s="15"/>
      <c r="D34" s="15"/>
      <c r="E34" s="15"/>
      <c r="F34" s="15">
        <f aca="true" t="shared" si="8" ref="F34:N34">F19/F4</f>
        <v>27484</v>
      </c>
      <c r="G34" s="15">
        <f t="shared" si="8"/>
        <v>13706</v>
      </c>
      <c r="H34" s="15">
        <f t="shared" si="8"/>
        <v>14100.857142857143</v>
      </c>
      <c r="I34" s="15">
        <f t="shared" si="8"/>
        <v>5416.6875</v>
      </c>
      <c r="J34" s="15">
        <f t="shared" si="8"/>
        <v>17709</v>
      </c>
      <c r="K34" s="15">
        <f t="shared" si="8"/>
        <v>8379.76923076923</v>
      </c>
      <c r="L34" s="15">
        <f t="shared" si="8"/>
        <v>6070.642857142857</v>
      </c>
      <c r="M34" s="15">
        <f t="shared" si="8"/>
        <v>19144</v>
      </c>
      <c r="N34" s="15">
        <f t="shared" si="8"/>
        <v>8581.17441860465</v>
      </c>
      <c r="P34" s="4" t="s">
        <v>11</v>
      </c>
      <c r="Q34" s="15"/>
      <c r="R34" s="15">
        <f aca="true" t="shared" si="9" ref="R34:AC34">R19/R4</f>
        <v>3561</v>
      </c>
      <c r="S34" s="15">
        <f t="shared" si="9"/>
        <v>16264.526315789473</v>
      </c>
      <c r="T34" s="15">
        <f t="shared" si="9"/>
        <v>14098.5</v>
      </c>
      <c r="U34" s="15">
        <f t="shared" si="9"/>
        <v>15960.947368421053</v>
      </c>
      <c r="V34" s="15">
        <f t="shared" si="9"/>
        <v>8907.295454545454</v>
      </c>
      <c r="W34" s="15">
        <f t="shared" si="9"/>
        <v>9317.529411764706</v>
      </c>
      <c r="X34" s="15">
        <f t="shared" si="9"/>
        <v>7327.428571428572</v>
      </c>
      <c r="Y34" s="15">
        <f t="shared" si="9"/>
        <v>7152.815217391304</v>
      </c>
      <c r="Z34" s="15">
        <f t="shared" si="9"/>
        <v>6089.340425531915</v>
      </c>
      <c r="AA34" s="15">
        <f t="shared" si="9"/>
        <v>3726</v>
      </c>
      <c r="AB34" s="15">
        <f t="shared" si="9"/>
        <v>10014.275</v>
      </c>
      <c r="AC34" s="15">
        <f t="shared" si="9"/>
        <v>8602.313725490196</v>
      </c>
    </row>
    <row r="35" spans="1:29" ht="12.75">
      <c r="A35" s="4" t="s">
        <v>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P35" s="4" t="s">
        <v>9</v>
      </c>
      <c r="Q35" s="15">
        <f>Q20/Q5</f>
        <v>1309</v>
      </c>
      <c r="R35" s="15"/>
      <c r="S35" s="15"/>
      <c r="T35" s="15"/>
      <c r="U35" s="15"/>
      <c r="V35" s="15"/>
      <c r="W35" s="15"/>
      <c r="X35" s="15"/>
      <c r="Y35" s="15"/>
      <c r="Z35" s="15">
        <f>Z20/Z5</f>
        <v>6611.75</v>
      </c>
      <c r="AA35" s="15">
        <f>AA20/AA5</f>
        <v>2945.5</v>
      </c>
      <c r="AB35" s="15"/>
      <c r="AC35" s="15">
        <f>AC20/AC5</f>
        <v>4683.25</v>
      </c>
    </row>
    <row r="36" spans="1:29" ht="12.75">
      <c r="A36" s="4" t="s">
        <v>56</v>
      </c>
      <c r="B36" s="15"/>
      <c r="C36" s="15"/>
      <c r="D36" s="15"/>
      <c r="E36" s="15">
        <f>E21/E6</f>
        <v>1834</v>
      </c>
      <c r="F36" s="15"/>
      <c r="G36" s="15"/>
      <c r="H36" s="15"/>
      <c r="I36" s="15"/>
      <c r="J36" s="15"/>
      <c r="K36" s="15"/>
      <c r="L36" s="15"/>
      <c r="M36" s="15"/>
      <c r="N36" s="15">
        <f>N21/N6</f>
        <v>1834</v>
      </c>
      <c r="P36" s="4" t="s">
        <v>56</v>
      </c>
      <c r="Q36" s="15">
        <f>Q21/Q6</f>
        <v>10242</v>
      </c>
      <c r="R36" s="15"/>
      <c r="S36" s="15"/>
      <c r="T36" s="15">
        <f>T21/T6</f>
        <v>1894.3333333333333</v>
      </c>
      <c r="U36" s="15"/>
      <c r="V36" s="15"/>
      <c r="W36" s="15"/>
      <c r="X36" s="15">
        <f>X21/X6</f>
        <v>3069</v>
      </c>
      <c r="Y36" s="15">
        <f>Y21/Y6</f>
        <v>6299.666666666667</v>
      </c>
      <c r="Z36" s="15"/>
      <c r="AA36" s="15"/>
      <c r="AB36" s="15">
        <f>AB21/AB6</f>
        <v>5681.555555555556</v>
      </c>
      <c r="AC36" s="15">
        <f>AC21/AC6</f>
        <v>5473.405405405405</v>
      </c>
    </row>
    <row r="37" spans="1:29" ht="12.75">
      <c r="A37" s="4" t="s">
        <v>14</v>
      </c>
      <c r="B37" s="15">
        <f>B22/B7</f>
        <v>2711.6470588235293</v>
      </c>
      <c r="C37" s="15">
        <f>C22/C7</f>
        <v>2756.6285714285714</v>
      </c>
      <c r="D37" s="15">
        <f>D22/D7</f>
        <v>2908.8</v>
      </c>
      <c r="E37" s="15">
        <f>E22/E7</f>
        <v>2949.562874251497</v>
      </c>
      <c r="F37" s="15">
        <f aca="true" t="shared" si="10" ref="F37:M37">F22/F7</f>
        <v>2692.5860215053763</v>
      </c>
      <c r="G37" s="15">
        <f t="shared" si="10"/>
        <v>2613.871657754011</v>
      </c>
      <c r="H37" s="15">
        <f t="shared" si="10"/>
        <v>3724.970588235294</v>
      </c>
      <c r="I37" s="15">
        <f t="shared" si="10"/>
        <v>2638.048648648649</v>
      </c>
      <c r="J37" s="15">
        <f t="shared" si="10"/>
        <v>2775.6188340807175</v>
      </c>
      <c r="K37" s="15">
        <f t="shared" si="10"/>
        <v>3116.6975308641977</v>
      </c>
      <c r="L37" s="15">
        <f t="shared" si="10"/>
        <v>2960.7368421052633</v>
      </c>
      <c r="M37" s="15">
        <f t="shared" si="10"/>
        <v>3209.5523465703973</v>
      </c>
      <c r="N37" s="15">
        <f>N22/N7</f>
        <v>2899.5500521376434</v>
      </c>
      <c r="P37" s="4" t="s">
        <v>14</v>
      </c>
      <c r="Q37" s="15">
        <f>Q22/Q7</f>
        <v>2300.5440180586907</v>
      </c>
      <c r="R37" s="15">
        <f>R22/R7</f>
        <v>2239.225181598063</v>
      </c>
      <c r="S37" s="15">
        <f>S22/S7</f>
        <v>2173.767578125</v>
      </c>
      <c r="T37" s="15">
        <f>T22/T7</f>
        <v>2353.7633333333333</v>
      </c>
      <c r="U37" s="15">
        <f>U22/U7</f>
        <v>2435.597222222222</v>
      </c>
      <c r="V37" s="15">
        <f>V22/V7</f>
        <v>2402.635761589404</v>
      </c>
      <c r="W37" s="15">
        <f>W22/W7</f>
        <v>2615.951351351351</v>
      </c>
      <c r="X37" s="15">
        <f>X22/X7</f>
        <v>2431.404929577465</v>
      </c>
      <c r="Y37" s="15">
        <f>Y22/Y7</f>
        <v>2482.633393829401</v>
      </c>
      <c r="Z37" s="15">
        <f>Z22/Z7</f>
        <v>3064.4533762057877</v>
      </c>
      <c r="AA37" s="15">
        <f>AA22/AA7</f>
        <v>2815.130319148936</v>
      </c>
      <c r="AB37" s="15">
        <f>AB22/AB7</f>
        <v>2101.4102564102564</v>
      </c>
      <c r="AC37" s="15">
        <f>AC22/AC7</f>
        <v>2401.193422083007</v>
      </c>
    </row>
    <row r="38" spans="1:29" ht="12.75">
      <c r="A38" s="4" t="s">
        <v>17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P38" s="4" t="s">
        <v>17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2.75">
      <c r="A39" s="4" t="s">
        <v>55</v>
      </c>
      <c r="B39" s="15">
        <f aca="true" t="shared" si="11" ref="B39:G39">B24/B9</f>
        <v>2335.7</v>
      </c>
      <c r="C39" s="15">
        <f t="shared" si="11"/>
        <v>2503.766666666667</v>
      </c>
      <c r="D39" s="15">
        <f t="shared" si="11"/>
        <v>2637.875</v>
      </c>
      <c r="E39" s="15">
        <f t="shared" si="11"/>
        <v>2475.625</v>
      </c>
      <c r="F39" s="15">
        <f t="shared" si="11"/>
        <v>2489.279069767442</v>
      </c>
      <c r="G39" s="15">
        <f t="shared" si="11"/>
        <v>2448.65625</v>
      </c>
      <c r="H39" s="15"/>
      <c r="I39" s="15"/>
      <c r="J39" s="15"/>
      <c r="K39" s="15"/>
      <c r="L39" s="15"/>
      <c r="M39" s="15"/>
      <c r="N39" s="15">
        <f>N24/N9</f>
        <v>2485.9473684210525</v>
      </c>
      <c r="P39" s="4" t="s">
        <v>55</v>
      </c>
      <c r="Q39" s="15">
        <f>Q24/Q9</f>
        <v>2381.1363636363635</v>
      </c>
      <c r="R39" s="15"/>
      <c r="S39" s="15"/>
      <c r="T39" s="15">
        <f>T24/T9</f>
        <v>2165</v>
      </c>
      <c r="U39" s="15"/>
      <c r="V39" s="15">
        <f>V24/V9</f>
        <v>2023.6923076923076</v>
      </c>
      <c r="W39" s="15"/>
      <c r="X39" s="15"/>
      <c r="Y39" s="15"/>
      <c r="Z39" s="15"/>
      <c r="AA39" s="15"/>
      <c r="AB39" s="15"/>
      <c r="AC39" s="15">
        <f>AC24/AC9</f>
        <v>2212.8360655737706</v>
      </c>
    </row>
    <row r="40" spans="1:29" ht="12.75">
      <c r="A40" s="4" t="s">
        <v>18</v>
      </c>
      <c r="B40" s="15">
        <f aca="true" t="shared" si="12" ref="B40:M40">B25/B10</f>
        <v>9314.627118644068</v>
      </c>
      <c r="C40" s="15">
        <f t="shared" si="12"/>
        <v>10589.517857142857</v>
      </c>
      <c r="D40" s="15">
        <f t="shared" si="12"/>
        <v>9733.363636363636</v>
      </c>
      <c r="E40" s="15">
        <f t="shared" si="12"/>
        <v>9640.605504587156</v>
      </c>
      <c r="F40" s="15">
        <f t="shared" si="12"/>
        <v>8145.070588235294</v>
      </c>
      <c r="G40" s="15">
        <f t="shared" si="12"/>
        <v>10484.038461538461</v>
      </c>
      <c r="H40" s="15">
        <f t="shared" si="12"/>
        <v>10186.923076923076</v>
      </c>
      <c r="I40" s="15">
        <f t="shared" si="12"/>
        <v>7709.887323943662</v>
      </c>
      <c r="J40" s="15">
        <f t="shared" si="12"/>
        <v>9205.65671641791</v>
      </c>
      <c r="K40" s="15">
        <f t="shared" si="12"/>
        <v>8793.89898989899</v>
      </c>
      <c r="L40" s="15">
        <f t="shared" si="12"/>
        <v>8433.567307692309</v>
      </c>
      <c r="M40" s="15">
        <f t="shared" si="12"/>
        <v>9224.745762711864</v>
      </c>
      <c r="N40" s="15">
        <f>N25/N10</f>
        <v>9196.150353178607</v>
      </c>
      <c r="P40" s="4" t="s">
        <v>18</v>
      </c>
      <c r="Q40" s="15">
        <f>Q25/Q10</f>
        <v>2654.358974358974</v>
      </c>
      <c r="R40" s="15">
        <f>R25/R10</f>
        <v>8886.6</v>
      </c>
      <c r="S40" s="15">
        <f>S25/S10</f>
        <v>9790.5</v>
      </c>
      <c r="T40" s="15"/>
      <c r="U40" s="15">
        <f>U25/U10</f>
        <v>3619.6</v>
      </c>
      <c r="V40" s="15">
        <f>V25/V10</f>
        <v>13978.8</v>
      </c>
      <c r="W40" s="15">
        <f aca="true" t="shared" si="13" ref="W40:AB40">W25/W10</f>
        <v>2749.1111111111113</v>
      </c>
      <c r="X40" s="15">
        <f t="shared" si="13"/>
        <v>7041.846153846154</v>
      </c>
      <c r="Y40" s="15">
        <f t="shared" si="13"/>
        <v>11077</v>
      </c>
      <c r="Z40" s="15">
        <f t="shared" si="13"/>
        <v>2530</v>
      </c>
      <c r="AA40" s="15">
        <f t="shared" si="13"/>
        <v>4484.069767441861</v>
      </c>
      <c r="AB40" s="15">
        <f t="shared" si="13"/>
        <v>5548.826666666667</v>
      </c>
      <c r="AC40" s="15">
        <f>AC25/AC10</f>
        <v>4993.434262948207</v>
      </c>
    </row>
    <row r="41" spans="1:29" ht="12.75">
      <c r="A41" s="4" t="s">
        <v>19</v>
      </c>
      <c r="B41" s="15">
        <f aca="true" t="shared" si="14" ref="B41:M41">B26/B11</f>
        <v>6210.931506849315</v>
      </c>
      <c r="C41" s="15">
        <f t="shared" si="14"/>
        <v>5391.2307692307695</v>
      </c>
      <c r="D41" s="15">
        <f t="shared" si="14"/>
        <v>5471.975</v>
      </c>
      <c r="E41" s="15">
        <f t="shared" si="14"/>
        <v>5720.653846153846</v>
      </c>
      <c r="F41" s="15">
        <f t="shared" si="14"/>
        <v>6028.409090909091</v>
      </c>
      <c r="G41" s="15">
        <f t="shared" si="14"/>
        <v>4993.275862068966</v>
      </c>
      <c r="H41" s="15">
        <f t="shared" si="14"/>
        <v>5720.234042553191</v>
      </c>
      <c r="I41" s="15">
        <f t="shared" si="14"/>
        <v>5640.145833333333</v>
      </c>
      <c r="J41" s="15">
        <f t="shared" si="14"/>
        <v>6238.246376811594</v>
      </c>
      <c r="K41" s="15">
        <f t="shared" si="14"/>
        <v>5381.4358974358975</v>
      </c>
      <c r="L41" s="15">
        <f t="shared" si="14"/>
        <v>6179.181818181818</v>
      </c>
      <c r="M41" s="15">
        <f t="shared" si="14"/>
        <v>5619.806722689075</v>
      </c>
      <c r="N41" s="15">
        <f>N26/N11</f>
        <v>5772.850730688935</v>
      </c>
      <c r="P41" s="4" t="s">
        <v>19</v>
      </c>
      <c r="Q41" s="15">
        <v>3150.166</v>
      </c>
      <c r="R41" s="15">
        <v>7530.338</v>
      </c>
      <c r="S41" s="15">
        <v>6433.306</v>
      </c>
      <c r="T41" s="15">
        <v>8570.723</v>
      </c>
      <c r="U41" s="15">
        <v>22910.87</v>
      </c>
      <c r="V41" s="15"/>
      <c r="W41" s="15">
        <v>8118.647</v>
      </c>
      <c r="X41" s="15"/>
      <c r="Y41" s="15"/>
      <c r="Z41" s="15">
        <f>Z26/Z11</f>
        <v>7648.388888888889</v>
      </c>
      <c r="AA41" s="15"/>
      <c r="AB41" s="15"/>
      <c r="AC41" s="15">
        <f>AC26/AC11</f>
        <v>5693.04353931515</v>
      </c>
    </row>
    <row r="42" spans="1:29" ht="12.75">
      <c r="A42" s="4" t="s">
        <v>97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4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2.75">
      <c r="A43" s="1" t="s">
        <v>20</v>
      </c>
      <c r="B43" s="17">
        <f>B28/B13</f>
        <v>5339.7786885245905</v>
      </c>
      <c r="C43" s="17">
        <f aca="true" t="shared" si="15" ref="C43:M43">C28/C13</f>
        <v>5525.102040816327</v>
      </c>
      <c r="D43" s="17">
        <f t="shared" si="15"/>
        <v>6074.206896551724</v>
      </c>
      <c r="E43" s="17">
        <f t="shared" si="15"/>
        <v>5342.163310961969</v>
      </c>
      <c r="F43" s="17">
        <f t="shared" si="15"/>
        <v>4610.856079404466</v>
      </c>
      <c r="G43" s="17">
        <f t="shared" si="15"/>
        <v>4289.809090909091</v>
      </c>
      <c r="H43" s="17">
        <f t="shared" si="15"/>
        <v>6187.4807692307695</v>
      </c>
      <c r="I43" s="17">
        <f t="shared" si="15"/>
        <v>4352.609375</v>
      </c>
      <c r="J43" s="17">
        <f t="shared" si="15"/>
        <v>4713.570637119114</v>
      </c>
      <c r="K43" s="17">
        <f t="shared" si="15"/>
        <v>5531.444785276074</v>
      </c>
      <c r="L43" s="17">
        <f t="shared" si="15"/>
        <v>5438.919811320755</v>
      </c>
      <c r="M43" s="17">
        <f t="shared" si="15"/>
        <v>5265.349420849421</v>
      </c>
      <c r="N43" s="17">
        <f>N28/N13</f>
        <v>5182.943757575757</v>
      </c>
      <c r="P43" s="1" t="s">
        <v>20</v>
      </c>
      <c r="Q43" s="17">
        <f aca="true" t="shared" si="16" ref="Q43:AC43">Q28/Q13</f>
        <v>2399.2015390184406</v>
      </c>
      <c r="R43" s="17">
        <f t="shared" si="16"/>
        <v>2383.1220657276995</v>
      </c>
      <c r="S43" s="17">
        <f t="shared" si="16"/>
        <v>2870.813186813187</v>
      </c>
      <c r="T43" s="17">
        <f t="shared" si="16"/>
        <v>2466.1785714285716</v>
      </c>
      <c r="U43" s="17">
        <f t="shared" si="16"/>
        <v>3570.20703125</v>
      </c>
      <c r="V43" s="15"/>
      <c r="W43" s="17">
        <f t="shared" si="16"/>
        <v>3204.077972324638</v>
      </c>
      <c r="X43" s="17">
        <f t="shared" si="16"/>
        <v>2858.3552</v>
      </c>
      <c r="Y43" s="17">
        <f t="shared" si="16"/>
        <v>3272.010542168675</v>
      </c>
      <c r="Z43" s="17">
        <f t="shared" si="16"/>
        <v>3621.2641975308643</v>
      </c>
      <c r="AA43" s="17">
        <f t="shared" si="16"/>
        <v>3027.6793721973095</v>
      </c>
      <c r="AB43" s="17">
        <f t="shared" si="16"/>
        <v>2972.104618284637</v>
      </c>
      <c r="AC43" s="17">
        <f t="shared" si="16"/>
        <v>2989.206606307753</v>
      </c>
    </row>
    <row r="44" spans="1:16" ht="12.75">
      <c r="A44" s="5" t="s">
        <v>24</v>
      </c>
      <c r="P44" s="5" t="s">
        <v>24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</cols>
  <sheetData>
    <row r="1" ht="12.75">
      <c r="A1" t="s">
        <v>57</v>
      </c>
    </row>
    <row r="2" ht="12.75">
      <c r="A2" t="s">
        <v>23</v>
      </c>
    </row>
    <row r="3" spans="1:14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</row>
    <row r="4" spans="1:14" ht="12.75">
      <c r="A4" s="4" t="s">
        <v>11</v>
      </c>
      <c r="B4" s="8">
        <v>37</v>
      </c>
      <c r="C4" s="8">
        <v>39</v>
      </c>
      <c r="D4" s="8">
        <v>23</v>
      </c>
      <c r="E4" s="8">
        <v>63</v>
      </c>
      <c r="F4" s="19">
        <v>2</v>
      </c>
      <c r="G4" s="8">
        <v>18</v>
      </c>
      <c r="H4" s="8">
        <v>13</v>
      </c>
      <c r="I4" s="8">
        <v>68</v>
      </c>
      <c r="J4" s="8">
        <v>40</v>
      </c>
      <c r="K4" s="8">
        <v>52</v>
      </c>
      <c r="L4" s="8">
        <v>51</v>
      </c>
      <c r="M4" s="8">
        <v>23</v>
      </c>
      <c r="N4" s="7">
        <f>SUM(B4:M4)</f>
        <v>429</v>
      </c>
    </row>
    <row r="5" spans="1:14" ht="12.75">
      <c r="A5" s="4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4" t="s">
        <v>14</v>
      </c>
      <c r="B6" s="8">
        <v>1382</v>
      </c>
      <c r="C6" s="8">
        <v>386</v>
      </c>
      <c r="D6" s="8">
        <v>791</v>
      </c>
      <c r="E6" s="8">
        <v>1216</v>
      </c>
      <c r="F6" s="8">
        <v>2278</v>
      </c>
      <c r="G6" s="8">
        <v>1879</v>
      </c>
      <c r="H6" s="8">
        <v>3078</v>
      </c>
      <c r="I6" s="8">
        <v>2798</v>
      </c>
      <c r="J6" s="8">
        <v>2063</v>
      </c>
      <c r="K6" s="8">
        <v>907</v>
      </c>
      <c r="L6" s="8">
        <v>679</v>
      </c>
      <c r="M6" s="8">
        <v>1663</v>
      </c>
      <c r="N6" s="8">
        <f>SUM(B6:M6)</f>
        <v>19120</v>
      </c>
    </row>
    <row r="7" spans="1:14" ht="12.75">
      <c r="A7" s="4" t="s">
        <v>17</v>
      </c>
      <c r="B7" s="8">
        <v>75</v>
      </c>
      <c r="C7" s="8"/>
      <c r="D7" s="8"/>
      <c r="E7" s="8"/>
      <c r="F7" s="8"/>
      <c r="G7" s="8"/>
      <c r="H7" s="8"/>
      <c r="I7" s="8">
        <v>100</v>
      </c>
      <c r="J7" s="8">
        <v>100</v>
      </c>
      <c r="K7" s="8">
        <v>25</v>
      </c>
      <c r="L7" s="8"/>
      <c r="M7" s="8"/>
      <c r="N7" s="8">
        <f>SUM(B7:M7)</f>
        <v>300</v>
      </c>
    </row>
    <row r="8" spans="1:14" ht="12.75">
      <c r="A8" s="4" t="s">
        <v>18</v>
      </c>
      <c r="B8" s="8">
        <v>10</v>
      </c>
      <c r="C8" s="8">
        <v>65</v>
      </c>
      <c r="D8" s="8">
        <v>25</v>
      </c>
      <c r="E8" s="8">
        <v>48</v>
      </c>
      <c r="F8" s="8">
        <v>12</v>
      </c>
      <c r="G8" s="8">
        <v>35</v>
      </c>
      <c r="H8" s="8">
        <v>44</v>
      </c>
      <c r="I8" s="8">
        <v>83</v>
      </c>
      <c r="J8" s="8">
        <v>9</v>
      </c>
      <c r="K8" s="8">
        <v>77</v>
      </c>
      <c r="L8" s="8">
        <v>45</v>
      </c>
      <c r="M8" s="8">
        <v>48</v>
      </c>
      <c r="N8" s="8">
        <f>SUM(B8:M8)</f>
        <v>501</v>
      </c>
    </row>
    <row r="9" spans="1:14" ht="12.75">
      <c r="A9" s="4" t="s">
        <v>19</v>
      </c>
      <c r="B9" s="8">
        <v>9</v>
      </c>
      <c r="C9" s="20"/>
      <c r="D9" s="20"/>
      <c r="E9" s="20"/>
      <c r="F9" s="20"/>
      <c r="G9" s="8"/>
      <c r="H9" s="8"/>
      <c r="I9" s="8">
        <v>31</v>
      </c>
      <c r="J9" s="8">
        <v>24</v>
      </c>
      <c r="K9" s="8">
        <v>13</v>
      </c>
      <c r="L9" s="8">
        <v>13</v>
      </c>
      <c r="M9" s="8"/>
      <c r="N9" s="8">
        <f>SUM(B9:M9)</f>
        <v>90</v>
      </c>
    </row>
    <row r="10" spans="1:14" ht="12.75">
      <c r="A10" s="1" t="s">
        <v>20</v>
      </c>
      <c r="B10" s="10">
        <f aca="true" t="shared" si="0" ref="B10:M10">SUM(B4:B9)</f>
        <v>1513</v>
      </c>
      <c r="C10" s="10">
        <f t="shared" si="0"/>
        <v>490</v>
      </c>
      <c r="D10" s="10">
        <f t="shared" si="0"/>
        <v>839</v>
      </c>
      <c r="E10" s="10">
        <f t="shared" si="0"/>
        <v>1327</v>
      </c>
      <c r="F10" s="10">
        <f t="shared" si="0"/>
        <v>2292</v>
      </c>
      <c r="G10" s="10">
        <f t="shared" si="0"/>
        <v>1932</v>
      </c>
      <c r="H10" s="10">
        <f t="shared" si="0"/>
        <v>3135</v>
      </c>
      <c r="I10" s="10">
        <f t="shared" si="0"/>
        <v>3080</v>
      </c>
      <c r="J10" s="10">
        <f t="shared" si="0"/>
        <v>2236</v>
      </c>
      <c r="K10" s="10">
        <f t="shared" si="0"/>
        <v>1074</v>
      </c>
      <c r="L10" s="10">
        <f t="shared" si="0"/>
        <v>788</v>
      </c>
      <c r="M10" s="10">
        <f t="shared" si="0"/>
        <v>1734</v>
      </c>
      <c r="N10" s="10">
        <f>SUM(B10:M10)</f>
        <v>20440</v>
      </c>
    </row>
    <row r="11" ht="12.75">
      <c r="A11" s="5" t="s">
        <v>24</v>
      </c>
    </row>
    <row r="13" ht="12.75">
      <c r="A13" t="s">
        <v>57</v>
      </c>
    </row>
    <row r="14" ht="12.75">
      <c r="A14" t="s">
        <v>31</v>
      </c>
    </row>
    <row r="15" spans="1:14" ht="12.75">
      <c r="A15" s="1" t="s">
        <v>21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  <c r="K15" s="2" t="s">
        <v>28</v>
      </c>
      <c r="L15" s="2" t="s">
        <v>29</v>
      </c>
      <c r="M15" s="2" t="s">
        <v>30</v>
      </c>
      <c r="N15" s="6" t="s">
        <v>25</v>
      </c>
    </row>
    <row r="16" spans="1:14" ht="12.75">
      <c r="A16" s="4" t="s">
        <v>11</v>
      </c>
      <c r="B16" s="8">
        <v>370922</v>
      </c>
      <c r="C16" s="8">
        <v>214167</v>
      </c>
      <c r="D16" s="8">
        <v>98864</v>
      </c>
      <c r="E16" s="8">
        <v>402034</v>
      </c>
      <c r="F16" s="8">
        <v>15913</v>
      </c>
      <c r="G16" s="8">
        <v>153326</v>
      </c>
      <c r="H16" s="8">
        <v>113838</v>
      </c>
      <c r="I16" s="8">
        <v>367531</v>
      </c>
      <c r="J16" s="8">
        <v>288481</v>
      </c>
      <c r="K16" s="8">
        <v>540668</v>
      </c>
      <c r="L16" s="8">
        <v>416458</v>
      </c>
      <c r="M16" s="8">
        <v>241083</v>
      </c>
      <c r="N16" s="7">
        <f>SUM(B16:M16)</f>
        <v>3223285</v>
      </c>
    </row>
    <row r="17" spans="1:14" ht="12.75">
      <c r="A17" s="4" t="s">
        <v>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4" t="s">
        <v>14</v>
      </c>
      <c r="B18" s="8">
        <v>1976947</v>
      </c>
      <c r="C18" s="8">
        <v>636095</v>
      </c>
      <c r="D18" s="8">
        <v>1323900</v>
      </c>
      <c r="E18" s="8">
        <v>1892237</v>
      </c>
      <c r="F18" s="8">
        <v>3419556</v>
      </c>
      <c r="G18" s="8">
        <v>3250906</v>
      </c>
      <c r="H18" s="8">
        <v>6561618</v>
      </c>
      <c r="I18" s="8">
        <v>5822238</v>
      </c>
      <c r="J18" s="8">
        <v>4115951</v>
      </c>
      <c r="K18" s="8">
        <v>1677108</v>
      </c>
      <c r="L18" s="8">
        <v>1590453</v>
      </c>
      <c r="M18" s="8">
        <v>3262477</v>
      </c>
      <c r="N18" s="8">
        <f>SUM(B18:M18)</f>
        <v>35529486</v>
      </c>
    </row>
    <row r="19" spans="1:14" ht="12.75">
      <c r="A19" s="4" t="s">
        <v>17</v>
      </c>
      <c r="B19" s="8">
        <v>149641</v>
      </c>
      <c r="C19" s="8"/>
      <c r="D19" s="8"/>
      <c r="E19" s="8"/>
      <c r="F19" s="8"/>
      <c r="G19" s="8"/>
      <c r="H19" s="8"/>
      <c r="I19" s="8">
        <v>226101</v>
      </c>
      <c r="J19" s="8">
        <v>223976</v>
      </c>
      <c r="K19" s="8">
        <v>54994</v>
      </c>
      <c r="L19" s="8"/>
      <c r="M19" s="8"/>
      <c r="N19" s="8">
        <f>SUM(B19:M19)</f>
        <v>654712</v>
      </c>
    </row>
    <row r="20" spans="1:14" ht="12.75">
      <c r="A20" s="4" t="s">
        <v>18</v>
      </c>
      <c r="B20" s="8">
        <v>49743</v>
      </c>
      <c r="C20" s="8">
        <v>220739</v>
      </c>
      <c r="D20" s="8">
        <v>104962</v>
      </c>
      <c r="E20" s="8">
        <v>197729</v>
      </c>
      <c r="F20" s="8">
        <v>43807</v>
      </c>
      <c r="G20" s="8">
        <v>124312</v>
      </c>
      <c r="H20" s="8">
        <v>213229</v>
      </c>
      <c r="I20" s="8">
        <v>298292</v>
      </c>
      <c r="J20" s="8">
        <v>51821</v>
      </c>
      <c r="K20" s="8">
        <v>257624</v>
      </c>
      <c r="L20" s="8">
        <v>133967</v>
      </c>
      <c r="M20" s="8">
        <v>167734</v>
      </c>
      <c r="N20" s="8">
        <f>SUM(B20:M20)</f>
        <v>1863959</v>
      </c>
    </row>
    <row r="21" spans="1:14" ht="12.75">
      <c r="A21" s="4" t="s">
        <v>19</v>
      </c>
      <c r="B21" s="8"/>
      <c r="C21" s="8"/>
      <c r="D21" s="8"/>
      <c r="E21" s="8"/>
      <c r="F21" s="8"/>
      <c r="G21" s="8"/>
      <c r="H21" s="8"/>
      <c r="I21" s="8">
        <v>109235</v>
      </c>
      <c r="J21" s="8">
        <v>107135</v>
      </c>
      <c r="K21" s="8">
        <v>53148</v>
      </c>
      <c r="L21" s="8">
        <v>82567</v>
      </c>
      <c r="M21" s="8"/>
      <c r="N21" s="9">
        <f>SUM(B21:M21)</f>
        <v>352085</v>
      </c>
    </row>
    <row r="22" spans="1:14" ht="12.75">
      <c r="A22" s="1" t="s">
        <v>20</v>
      </c>
      <c r="B22" s="10">
        <f aca="true" t="shared" si="1" ref="B22:M22">SUM(B16:B21)</f>
        <v>2547253</v>
      </c>
      <c r="C22" s="10">
        <f t="shared" si="1"/>
        <v>1071001</v>
      </c>
      <c r="D22" s="10">
        <f t="shared" si="1"/>
        <v>1527726</v>
      </c>
      <c r="E22" s="10">
        <f t="shared" si="1"/>
        <v>2492000</v>
      </c>
      <c r="F22" s="10">
        <f t="shared" si="1"/>
        <v>3479276</v>
      </c>
      <c r="G22" s="10">
        <f t="shared" si="1"/>
        <v>3528544</v>
      </c>
      <c r="H22" s="10">
        <f t="shared" si="1"/>
        <v>6888685</v>
      </c>
      <c r="I22" s="10">
        <f t="shared" si="1"/>
        <v>6823397</v>
      </c>
      <c r="J22" s="10">
        <f t="shared" si="1"/>
        <v>4787364</v>
      </c>
      <c r="K22" s="10">
        <f t="shared" si="1"/>
        <v>2583542</v>
      </c>
      <c r="L22" s="10">
        <f t="shared" si="1"/>
        <v>2223445</v>
      </c>
      <c r="M22" s="10">
        <f t="shared" si="1"/>
        <v>3671294</v>
      </c>
      <c r="N22" s="10">
        <f>SUM(B22:M22)</f>
        <v>41623527</v>
      </c>
    </row>
    <row r="23" ht="12.75">
      <c r="A23" s="5" t="s">
        <v>24</v>
      </c>
    </row>
    <row r="25" ht="12.75">
      <c r="A25" t="s">
        <v>57</v>
      </c>
    </row>
    <row r="26" ht="12.75">
      <c r="A26" t="s">
        <v>32</v>
      </c>
    </row>
    <row r="27" spans="1:14" ht="12.75">
      <c r="A27" s="1" t="s">
        <v>21</v>
      </c>
      <c r="B27" s="2" t="s">
        <v>0</v>
      </c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2" t="s">
        <v>8</v>
      </c>
      <c r="K27" s="2" t="s">
        <v>28</v>
      </c>
      <c r="L27" s="2" t="s">
        <v>29</v>
      </c>
      <c r="M27" s="2" t="s">
        <v>30</v>
      </c>
      <c r="N27" s="49" t="s">
        <v>25</v>
      </c>
    </row>
    <row r="28" spans="1:14" ht="12.75">
      <c r="A28" s="4" t="s">
        <v>11</v>
      </c>
      <c r="B28" s="15">
        <f>B16/B4</f>
        <v>10024.918918918918</v>
      </c>
      <c r="C28" s="15">
        <f>C16/C4</f>
        <v>5491.461538461538</v>
      </c>
      <c r="D28" s="15">
        <f>D16/D4</f>
        <v>4298.434782608696</v>
      </c>
      <c r="E28" s="15">
        <f>E16/E4</f>
        <v>6381.492063492064</v>
      </c>
      <c r="F28" s="15">
        <v>9488.568</v>
      </c>
      <c r="G28" s="15">
        <f aca="true" t="shared" si="2" ref="G28:N28">G16/G4</f>
        <v>8518.111111111111</v>
      </c>
      <c r="H28" s="15">
        <f t="shared" si="2"/>
        <v>8756.76923076923</v>
      </c>
      <c r="I28" s="14">
        <f t="shared" si="2"/>
        <v>5404.867647058823</v>
      </c>
      <c r="J28" s="14">
        <f t="shared" si="2"/>
        <v>7212.025</v>
      </c>
      <c r="K28" s="14">
        <f t="shared" si="2"/>
        <v>10397.461538461539</v>
      </c>
      <c r="L28" s="14">
        <f t="shared" si="2"/>
        <v>8165.843137254902</v>
      </c>
      <c r="M28" s="14">
        <f t="shared" si="2"/>
        <v>10481.869565217392</v>
      </c>
      <c r="N28" s="14">
        <f t="shared" si="2"/>
        <v>7513.484848484848</v>
      </c>
    </row>
    <row r="29" spans="1:14" ht="12.75">
      <c r="A29" s="4" t="s">
        <v>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4" t="s">
        <v>14</v>
      </c>
      <c r="B30" s="15">
        <f aca="true" t="shared" si="3" ref="B30:M30">B18/B6</f>
        <v>1430.4971056439942</v>
      </c>
      <c r="C30" s="15">
        <f t="shared" si="3"/>
        <v>1647.9145077720207</v>
      </c>
      <c r="D30" s="15">
        <f t="shared" si="3"/>
        <v>1673.7041719342603</v>
      </c>
      <c r="E30" s="15">
        <f t="shared" si="3"/>
        <v>1556.1159539473683</v>
      </c>
      <c r="F30" s="15">
        <f t="shared" si="3"/>
        <v>1501.1220368744512</v>
      </c>
      <c r="G30" s="15">
        <f t="shared" si="3"/>
        <v>1730.1255987227248</v>
      </c>
      <c r="H30" s="15">
        <f t="shared" si="3"/>
        <v>2131.7797270955166</v>
      </c>
      <c r="I30" s="15">
        <f t="shared" si="3"/>
        <v>2080.857040743388</v>
      </c>
      <c r="J30" s="15">
        <f t="shared" si="3"/>
        <v>1995.1289384391662</v>
      </c>
      <c r="K30" s="15">
        <f t="shared" si="3"/>
        <v>1849.071664829107</v>
      </c>
      <c r="L30" s="15">
        <f t="shared" si="3"/>
        <v>2342.3460972017674</v>
      </c>
      <c r="M30" s="15">
        <f t="shared" si="3"/>
        <v>1961.8021647624776</v>
      </c>
      <c r="N30" s="15">
        <f>N18/N6</f>
        <v>1858.2367154811716</v>
      </c>
    </row>
    <row r="31" spans="1:14" ht="12.75">
      <c r="A31" s="4" t="s">
        <v>17</v>
      </c>
      <c r="B31" s="15">
        <v>1995.213</v>
      </c>
      <c r="C31" s="15"/>
      <c r="D31" s="15"/>
      <c r="E31" s="15"/>
      <c r="F31" s="15"/>
      <c r="G31" s="15"/>
      <c r="H31" s="15"/>
      <c r="I31" s="15">
        <f>I19/I7</f>
        <v>2261.01</v>
      </c>
      <c r="J31" s="15">
        <f>J19/J7</f>
        <v>2239.76</v>
      </c>
      <c r="K31" s="15">
        <f>K19/K7</f>
        <v>2199.76</v>
      </c>
      <c r="L31" s="15"/>
      <c r="M31" s="15"/>
      <c r="N31" s="15">
        <v>1995.213</v>
      </c>
    </row>
    <row r="32" spans="1:14" ht="12.75">
      <c r="A32" s="4" t="s">
        <v>18</v>
      </c>
      <c r="B32" s="15">
        <f aca="true" t="shared" si="4" ref="B32:M32">B20/B8</f>
        <v>4974.3</v>
      </c>
      <c r="C32" s="15">
        <f t="shared" si="4"/>
        <v>3395.9846153846156</v>
      </c>
      <c r="D32" s="15">
        <f t="shared" si="4"/>
        <v>4198.48</v>
      </c>
      <c r="E32" s="15">
        <f t="shared" si="4"/>
        <v>4119.354166666667</v>
      </c>
      <c r="F32" s="15">
        <f t="shared" si="4"/>
        <v>3650.5833333333335</v>
      </c>
      <c r="G32" s="15">
        <f t="shared" si="4"/>
        <v>3551.7714285714287</v>
      </c>
      <c r="H32" s="15">
        <f t="shared" si="4"/>
        <v>4846.113636363636</v>
      </c>
      <c r="I32" s="15">
        <f t="shared" si="4"/>
        <v>3593.879518072289</v>
      </c>
      <c r="J32" s="15">
        <f t="shared" si="4"/>
        <v>5757.888888888889</v>
      </c>
      <c r="K32" s="15">
        <f t="shared" si="4"/>
        <v>3345.7662337662337</v>
      </c>
      <c r="L32" s="15">
        <f t="shared" si="4"/>
        <v>2977.0444444444443</v>
      </c>
      <c r="M32" s="15">
        <f t="shared" si="4"/>
        <v>3494.4583333333335</v>
      </c>
      <c r="N32" s="15">
        <f>N20/N8</f>
        <v>3720.4770459081838</v>
      </c>
    </row>
    <row r="33" spans="1:14" ht="12.75">
      <c r="A33" s="4" t="s">
        <v>19</v>
      </c>
      <c r="B33" s="15">
        <v>2600.775</v>
      </c>
      <c r="C33" s="15"/>
      <c r="D33" s="15"/>
      <c r="E33" s="15"/>
      <c r="F33" s="15"/>
      <c r="G33" s="15"/>
      <c r="H33" s="15"/>
      <c r="I33" s="18">
        <f>I21/I9</f>
        <v>3523.7096774193546</v>
      </c>
      <c r="J33" s="18">
        <f>J21/J9</f>
        <v>4463.958333333333</v>
      </c>
      <c r="K33" s="18">
        <f>K21/K9</f>
        <v>4088.3076923076924</v>
      </c>
      <c r="L33" s="18">
        <f>L21/L9</f>
        <v>6351.307692307692</v>
      </c>
      <c r="M33" s="18"/>
      <c r="N33" s="18">
        <f>N21/N9</f>
        <v>3912.0555555555557</v>
      </c>
    </row>
    <row r="34" spans="1:14" ht="12.75">
      <c r="A34" s="1" t="s">
        <v>20</v>
      </c>
      <c r="B34" s="17">
        <f aca="true" t="shared" si="5" ref="B34:M34">B22/B10</f>
        <v>1683.577660277594</v>
      </c>
      <c r="C34" s="17">
        <f t="shared" si="5"/>
        <v>2185.716326530612</v>
      </c>
      <c r="D34" s="17">
        <f t="shared" si="5"/>
        <v>1820.8891537544696</v>
      </c>
      <c r="E34" s="17">
        <f t="shared" si="5"/>
        <v>1877.9201205727204</v>
      </c>
      <c r="F34" s="17">
        <f t="shared" si="5"/>
        <v>1518.0087260034904</v>
      </c>
      <c r="G34" s="17">
        <f t="shared" si="5"/>
        <v>1826.368530020704</v>
      </c>
      <c r="H34" s="17">
        <f t="shared" si="5"/>
        <v>2197.347687400319</v>
      </c>
      <c r="I34" s="18">
        <f t="shared" si="5"/>
        <v>2215.3886363636366</v>
      </c>
      <c r="J34" s="18">
        <f t="shared" si="5"/>
        <v>2141.0393559928443</v>
      </c>
      <c r="K34" s="18">
        <f t="shared" si="5"/>
        <v>2405.5325884543763</v>
      </c>
      <c r="L34" s="18">
        <f t="shared" si="5"/>
        <v>2821.6307106598983</v>
      </c>
      <c r="M34" s="18">
        <f t="shared" si="5"/>
        <v>2117.239907727797</v>
      </c>
      <c r="N34" s="18">
        <f>N22/N10</f>
        <v>2036.3760763209393</v>
      </c>
    </row>
    <row r="35" ht="12.75">
      <c r="A35" s="5" t="s">
        <v>24</v>
      </c>
    </row>
  </sheetData>
  <printOptions/>
  <pageMargins left="0.2" right="0.2" top="0.18" bottom="0.27" header="0.17" footer="0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3" sqref="A3"/>
    </sheetView>
  </sheetViews>
  <sheetFormatPr defaultColWidth="11.421875" defaultRowHeight="12.75"/>
  <cols>
    <col min="1" max="1" width="20.57421875" style="0" bestFit="1" customWidth="1"/>
    <col min="2" max="13" width="10.7109375" style="0" customWidth="1"/>
  </cols>
  <sheetData>
    <row r="1" ht="12.75">
      <c r="A1" t="s">
        <v>59</v>
      </c>
    </row>
    <row r="2" ht="12.75">
      <c r="A2" t="s">
        <v>23</v>
      </c>
    </row>
    <row r="3" spans="1:14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</row>
    <row r="4" spans="1:14" ht="12.75">
      <c r="A4" s="4" t="s">
        <v>11</v>
      </c>
      <c r="B4" s="8"/>
      <c r="C4" s="8"/>
      <c r="D4" s="8"/>
      <c r="E4" s="8"/>
      <c r="F4" s="19"/>
      <c r="G4" s="8"/>
      <c r="H4" s="8"/>
      <c r="I4" s="8"/>
      <c r="J4" s="8"/>
      <c r="K4" s="8"/>
      <c r="L4" s="8"/>
      <c r="M4" s="8"/>
      <c r="N4" s="8"/>
    </row>
    <row r="5" spans="1:14" ht="12.75">
      <c r="A5" s="4" t="s">
        <v>9</v>
      </c>
      <c r="B5" s="8"/>
      <c r="C5" s="19"/>
      <c r="D5" s="8">
        <v>14</v>
      </c>
      <c r="E5" s="8"/>
      <c r="F5" s="19"/>
      <c r="G5" s="8">
        <v>29</v>
      </c>
      <c r="H5" s="8">
        <v>17</v>
      </c>
      <c r="I5" s="8"/>
      <c r="J5" s="8">
        <v>9</v>
      </c>
      <c r="K5" s="8"/>
      <c r="L5" s="8"/>
      <c r="M5" s="8"/>
      <c r="N5" s="8">
        <f aca="true" t="shared" si="0" ref="N5:N10">SUM(B5:M5)</f>
        <v>69</v>
      </c>
    </row>
    <row r="6" spans="1:14" ht="12.75">
      <c r="A6" s="4" t="s">
        <v>14</v>
      </c>
      <c r="B6" s="8">
        <v>2832</v>
      </c>
      <c r="C6" s="8">
        <v>2544</v>
      </c>
      <c r="D6" s="8">
        <v>2751</v>
      </c>
      <c r="E6" s="8">
        <v>2259</v>
      </c>
      <c r="F6" s="8">
        <v>591</v>
      </c>
      <c r="G6" s="8">
        <v>600</v>
      </c>
      <c r="H6" s="8">
        <v>1026</v>
      </c>
      <c r="I6" s="8">
        <v>2388</v>
      </c>
      <c r="J6" s="8">
        <v>3613</v>
      </c>
      <c r="K6" s="8">
        <v>820</v>
      </c>
      <c r="L6" s="8">
        <v>303</v>
      </c>
      <c r="M6" s="8">
        <v>870</v>
      </c>
      <c r="N6" s="8">
        <f t="shared" si="0"/>
        <v>20597</v>
      </c>
    </row>
    <row r="7" spans="1:14" ht="12.75">
      <c r="A7" s="4" t="s">
        <v>17</v>
      </c>
      <c r="B7" s="8">
        <v>3272</v>
      </c>
      <c r="C7" s="8">
        <v>3379</v>
      </c>
      <c r="D7" s="8">
        <v>3549</v>
      </c>
      <c r="E7" s="8">
        <v>2824</v>
      </c>
      <c r="F7" s="8">
        <v>366</v>
      </c>
      <c r="G7" s="8">
        <v>71</v>
      </c>
      <c r="H7" s="8">
        <v>1293</v>
      </c>
      <c r="I7" s="8">
        <v>2601</v>
      </c>
      <c r="J7" s="8">
        <v>3109</v>
      </c>
      <c r="K7" s="8">
        <v>1453</v>
      </c>
      <c r="L7" s="8">
        <v>515</v>
      </c>
      <c r="M7" s="8">
        <v>3412</v>
      </c>
      <c r="N7" s="8">
        <f t="shared" si="0"/>
        <v>25844</v>
      </c>
    </row>
    <row r="8" spans="1:14" ht="12.75">
      <c r="A8" s="4" t="s">
        <v>18</v>
      </c>
      <c r="B8" s="8"/>
      <c r="C8" s="8"/>
      <c r="D8" s="8">
        <v>11</v>
      </c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11</v>
      </c>
    </row>
    <row r="9" spans="1:14" ht="12.75">
      <c r="A9" s="4" t="s">
        <v>19</v>
      </c>
      <c r="B9" s="8"/>
      <c r="C9" s="20"/>
      <c r="D9" s="20"/>
      <c r="E9" s="20"/>
      <c r="F9" s="20"/>
      <c r="G9" s="8"/>
      <c r="H9" s="8"/>
      <c r="I9" s="8"/>
      <c r="J9" s="8"/>
      <c r="K9" s="8"/>
      <c r="L9" s="8"/>
      <c r="M9" s="8"/>
      <c r="N9" s="8"/>
    </row>
    <row r="10" spans="1:14" ht="12.75">
      <c r="A10" s="1" t="s">
        <v>20</v>
      </c>
      <c r="B10" s="10">
        <f aca="true" t="shared" si="1" ref="B10:M10">SUM(B4:B9)</f>
        <v>6104</v>
      </c>
      <c r="C10" s="10">
        <f t="shared" si="1"/>
        <v>5923</v>
      </c>
      <c r="D10" s="10">
        <f t="shared" si="1"/>
        <v>6325</v>
      </c>
      <c r="E10" s="10">
        <f t="shared" si="1"/>
        <v>5083</v>
      </c>
      <c r="F10" s="10">
        <f t="shared" si="1"/>
        <v>957</v>
      </c>
      <c r="G10" s="10">
        <f t="shared" si="1"/>
        <v>700</v>
      </c>
      <c r="H10" s="10">
        <f t="shared" si="1"/>
        <v>2336</v>
      </c>
      <c r="I10" s="10">
        <f t="shared" si="1"/>
        <v>4989</v>
      </c>
      <c r="J10" s="10">
        <f t="shared" si="1"/>
        <v>6731</v>
      </c>
      <c r="K10" s="10">
        <f t="shared" si="1"/>
        <v>2273</v>
      </c>
      <c r="L10" s="10">
        <f t="shared" si="1"/>
        <v>818</v>
      </c>
      <c r="M10" s="10">
        <f t="shared" si="1"/>
        <v>4282</v>
      </c>
      <c r="N10" s="10">
        <f t="shared" si="0"/>
        <v>46521</v>
      </c>
    </row>
    <row r="11" ht="12.75">
      <c r="A11" s="5" t="s">
        <v>24</v>
      </c>
    </row>
    <row r="13" ht="12.75">
      <c r="A13" t="s">
        <v>59</v>
      </c>
    </row>
    <row r="14" ht="12.75">
      <c r="A14" t="s">
        <v>31</v>
      </c>
    </row>
    <row r="15" spans="1:14" ht="12.75">
      <c r="A15" s="1" t="s">
        <v>21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  <c r="K15" s="2" t="s">
        <v>28</v>
      </c>
      <c r="L15" s="2" t="s">
        <v>29</v>
      </c>
      <c r="M15" s="2" t="s">
        <v>30</v>
      </c>
      <c r="N15" s="6" t="s">
        <v>25</v>
      </c>
    </row>
    <row r="16" spans="1:14" ht="12.75">
      <c r="A16" s="4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4" t="s">
        <v>9</v>
      </c>
      <c r="B17" s="8"/>
      <c r="C17" s="8">
        <f>312+2783</f>
        <v>3095</v>
      </c>
      <c r="D17" s="8">
        <v>80130</v>
      </c>
      <c r="E17" s="8"/>
      <c r="F17" s="8">
        <v>266</v>
      </c>
      <c r="G17" s="8">
        <f>150762+584</f>
        <v>151346</v>
      </c>
      <c r="H17" s="8">
        <v>79439</v>
      </c>
      <c r="I17" s="8"/>
      <c r="J17" s="8">
        <f>36748+4679</f>
        <v>41427</v>
      </c>
      <c r="K17" s="8"/>
      <c r="L17" s="8">
        <v>3417</v>
      </c>
      <c r="M17" s="8"/>
      <c r="N17" s="8">
        <f aca="true" t="shared" si="2" ref="N17:N22">SUM(B17:M17)</f>
        <v>359120</v>
      </c>
    </row>
    <row r="18" spans="1:14" ht="12.75">
      <c r="A18" s="4" t="s">
        <v>14</v>
      </c>
      <c r="B18" s="8">
        <v>5021933</v>
      </c>
      <c r="C18" s="8">
        <v>4509979</v>
      </c>
      <c r="D18" s="8">
        <v>4663515</v>
      </c>
      <c r="E18" s="8">
        <v>3691857</v>
      </c>
      <c r="F18" s="8">
        <v>900895</v>
      </c>
      <c r="G18" s="8">
        <v>1020372</v>
      </c>
      <c r="H18" s="8">
        <v>1966461</v>
      </c>
      <c r="I18" s="8">
        <v>4481626</v>
      </c>
      <c r="J18" s="8">
        <v>7299594</v>
      </c>
      <c r="K18" s="8">
        <v>1634988</v>
      </c>
      <c r="L18" s="8">
        <v>577129</v>
      </c>
      <c r="M18" s="8">
        <v>1950363</v>
      </c>
      <c r="N18" s="8">
        <f t="shared" si="2"/>
        <v>37718712</v>
      </c>
    </row>
    <row r="19" spans="1:14" ht="12.75">
      <c r="A19" s="4" t="s">
        <v>17</v>
      </c>
      <c r="B19" s="8">
        <v>6606957</v>
      </c>
      <c r="C19" s="8">
        <v>6703206</v>
      </c>
      <c r="D19" s="8">
        <v>7069287</v>
      </c>
      <c r="E19" s="8">
        <v>5816787</v>
      </c>
      <c r="F19" s="8">
        <v>777500</v>
      </c>
      <c r="G19" s="8">
        <v>179425</v>
      </c>
      <c r="H19" s="8">
        <v>3101306</v>
      </c>
      <c r="I19" s="8">
        <v>6395255</v>
      </c>
      <c r="J19" s="8">
        <v>7749401</v>
      </c>
      <c r="K19" s="8">
        <v>3619662</v>
      </c>
      <c r="L19" s="8">
        <v>1298633</v>
      </c>
      <c r="M19" s="8">
        <v>8933321</v>
      </c>
      <c r="N19" s="8">
        <f t="shared" si="2"/>
        <v>58250740</v>
      </c>
    </row>
    <row r="20" spans="1:14" ht="12.75">
      <c r="A20" s="4" t="s">
        <v>18</v>
      </c>
      <c r="B20" s="8"/>
      <c r="C20" s="8"/>
      <c r="D20" s="8">
        <v>30538</v>
      </c>
      <c r="E20" s="8"/>
      <c r="F20" s="8"/>
      <c r="G20" s="8"/>
      <c r="H20" s="8"/>
      <c r="I20" s="8"/>
      <c r="J20" s="8"/>
      <c r="K20" s="8"/>
      <c r="L20" s="8"/>
      <c r="M20" s="8"/>
      <c r="N20" s="8">
        <f t="shared" si="2"/>
        <v>30538</v>
      </c>
    </row>
    <row r="21" spans="1:14" ht="12.75">
      <c r="A21" s="4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" t="s">
        <v>20</v>
      </c>
      <c r="B22" s="10">
        <f aca="true" t="shared" si="3" ref="B22:M22">SUM(B16:B21)</f>
        <v>11628890</v>
      </c>
      <c r="C22" s="10">
        <f t="shared" si="3"/>
        <v>11216280</v>
      </c>
      <c r="D22" s="10">
        <f t="shared" si="3"/>
        <v>11843470</v>
      </c>
      <c r="E22" s="10">
        <f t="shared" si="3"/>
        <v>9508644</v>
      </c>
      <c r="F22" s="10">
        <f t="shared" si="3"/>
        <v>1678661</v>
      </c>
      <c r="G22" s="10">
        <f t="shared" si="3"/>
        <v>1351143</v>
      </c>
      <c r="H22" s="10">
        <f t="shared" si="3"/>
        <v>5147206</v>
      </c>
      <c r="I22" s="10">
        <f t="shared" si="3"/>
        <v>10876881</v>
      </c>
      <c r="J22" s="10">
        <f t="shared" si="3"/>
        <v>15090422</v>
      </c>
      <c r="K22" s="10">
        <f t="shared" si="3"/>
        <v>5254650</v>
      </c>
      <c r="L22" s="10">
        <f t="shared" si="3"/>
        <v>1879179</v>
      </c>
      <c r="M22" s="10">
        <f t="shared" si="3"/>
        <v>10883684</v>
      </c>
      <c r="N22" s="10">
        <f t="shared" si="2"/>
        <v>96359110</v>
      </c>
    </row>
    <row r="23" ht="12.75">
      <c r="A23" s="5" t="s">
        <v>24</v>
      </c>
    </row>
    <row r="25" ht="12.75">
      <c r="A25" t="s">
        <v>59</v>
      </c>
    </row>
    <row r="26" ht="12.75">
      <c r="A26" t="s">
        <v>32</v>
      </c>
    </row>
    <row r="27" spans="1:14" ht="12.75">
      <c r="A27" s="1" t="s">
        <v>21</v>
      </c>
      <c r="B27" s="2" t="s">
        <v>0</v>
      </c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2" t="s">
        <v>8</v>
      </c>
      <c r="K27" s="2" t="s">
        <v>28</v>
      </c>
      <c r="L27" s="2" t="s">
        <v>29</v>
      </c>
      <c r="M27" s="2" t="s">
        <v>30</v>
      </c>
      <c r="N27" s="6" t="s">
        <v>25</v>
      </c>
    </row>
    <row r="28" spans="1:14" ht="12.75">
      <c r="A28" s="4" t="s">
        <v>11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4" t="s">
        <v>9</v>
      </c>
      <c r="B29" s="15"/>
      <c r="C29" s="15"/>
      <c r="D29" s="15">
        <f>D17/D5</f>
        <v>5723.571428571428</v>
      </c>
      <c r="E29" s="15"/>
      <c r="F29" s="15"/>
      <c r="G29" s="15">
        <f>G17/G5</f>
        <v>5218.827586206897</v>
      </c>
      <c r="H29" s="15">
        <f>H17/H5</f>
        <v>4672.882352941177</v>
      </c>
      <c r="I29" s="15"/>
      <c r="J29" s="15">
        <f>J17/J5</f>
        <v>4603</v>
      </c>
      <c r="K29" s="15"/>
      <c r="L29" s="15"/>
      <c r="M29" s="15"/>
      <c r="N29" s="15">
        <f>N17/N5</f>
        <v>5204.63768115942</v>
      </c>
    </row>
    <row r="30" spans="1:14" ht="12.75">
      <c r="A30" s="4" t="s">
        <v>14</v>
      </c>
      <c r="B30" s="15">
        <f aca="true" t="shared" si="4" ref="B30:N30">B18/B6</f>
        <v>1773.2814265536724</v>
      </c>
      <c r="C30" s="15">
        <f t="shared" si="4"/>
        <v>1772.7904874213837</v>
      </c>
      <c r="D30" s="15">
        <f t="shared" si="4"/>
        <v>1695.20719738277</v>
      </c>
      <c r="E30" s="15">
        <f t="shared" si="4"/>
        <v>1634.2881806108899</v>
      </c>
      <c r="F30" s="15">
        <f t="shared" si="4"/>
        <v>1524.357021996616</v>
      </c>
      <c r="G30" s="15">
        <f t="shared" si="4"/>
        <v>1700.62</v>
      </c>
      <c r="H30" s="15">
        <f t="shared" si="4"/>
        <v>1916.6286549707602</v>
      </c>
      <c r="I30" s="15">
        <f t="shared" si="4"/>
        <v>1876.7278056951425</v>
      </c>
      <c r="J30" s="15">
        <f t="shared" si="4"/>
        <v>2020.3692222529753</v>
      </c>
      <c r="K30" s="15">
        <f t="shared" si="4"/>
        <v>1993.8878048780489</v>
      </c>
      <c r="L30" s="15">
        <f t="shared" si="4"/>
        <v>1904.7161716171618</v>
      </c>
      <c r="M30" s="15">
        <f t="shared" si="4"/>
        <v>2241.7965517241378</v>
      </c>
      <c r="N30" s="15">
        <f t="shared" si="4"/>
        <v>1831.2721270087877</v>
      </c>
    </row>
    <row r="31" spans="1:14" ht="12.75">
      <c r="A31" s="4" t="s">
        <v>17</v>
      </c>
      <c r="B31" s="15">
        <f aca="true" t="shared" si="5" ref="B31:N31">B19/B7</f>
        <v>2019.2411369193153</v>
      </c>
      <c r="C31" s="15">
        <f t="shared" si="5"/>
        <v>1983.7839597514057</v>
      </c>
      <c r="D31" s="15">
        <f t="shared" si="5"/>
        <v>1991.909551986475</v>
      </c>
      <c r="E31" s="15">
        <f t="shared" si="5"/>
        <v>2059.7687677053823</v>
      </c>
      <c r="F31" s="15">
        <f t="shared" si="5"/>
        <v>2124.3169398907103</v>
      </c>
      <c r="G31" s="15">
        <f t="shared" si="5"/>
        <v>2527.112676056338</v>
      </c>
      <c r="H31" s="15">
        <f t="shared" si="5"/>
        <v>2398.535189481825</v>
      </c>
      <c r="I31" s="15">
        <f t="shared" si="5"/>
        <v>2458.7677816224527</v>
      </c>
      <c r="J31" s="15">
        <f t="shared" si="5"/>
        <v>2492.570279832744</v>
      </c>
      <c r="K31" s="15">
        <f t="shared" si="5"/>
        <v>2491.164487267722</v>
      </c>
      <c r="L31" s="15">
        <f t="shared" si="5"/>
        <v>2521.617475728155</v>
      </c>
      <c r="M31" s="15">
        <f t="shared" si="5"/>
        <v>2618.2066236811256</v>
      </c>
      <c r="N31" s="15">
        <f t="shared" si="5"/>
        <v>2253.936697105711</v>
      </c>
    </row>
    <row r="32" spans="1:14" ht="12.75">
      <c r="A32" s="4" t="s">
        <v>18</v>
      </c>
      <c r="B32" s="15"/>
      <c r="C32" s="15"/>
      <c r="D32" s="15">
        <f>D20/D8</f>
        <v>2776.181818181818</v>
      </c>
      <c r="E32" s="15"/>
      <c r="F32" s="15"/>
      <c r="G32" s="15"/>
      <c r="H32" s="15"/>
      <c r="I32" s="15"/>
      <c r="J32" s="15"/>
      <c r="K32" s="15"/>
      <c r="L32" s="15"/>
      <c r="M32" s="15"/>
      <c r="N32" s="15">
        <f>N20/N8</f>
        <v>2776.181818181818</v>
      </c>
    </row>
    <row r="33" spans="1:14" ht="12.75">
      <c r="A33" s="4" t="s">
        <v>19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 t="s">
        <v>20</v>
      </c>
      <c r="B34" s="17">
        <f aca="true" t="shared" si="6" ref="B34:N34">B22/B10</f>
        <v>1905.1261467889908</v>
      </c>
      <c r="C34" s="17">
        <f t="shared" si="6"/>
        <v>1893.6822556137092</v>
      </c>
      <c r="D34" s="17">
        <f t="shared" si="6"/>
        <v>1872.4853754940711</v>
      </c>
      <c r="E34" s="17">
        <f t="shared" si="6"/>
        <v>1870.675585284281</v>
      </c>
      <c r="F34" s="17">
        <f t="shared" si="6"/>
        <v>1754.0867293625915</v>
      </c>
      <c r="G34" s="17">
        <f t="shared" si="6"/>
        <v>1930.2042857142858</v>
      </c>
      <c r="H34" s="17">
        <f t="shared" si="6"/>
        <v>2203.4272260273974</v>
      </c>
      <c r="I34" s="17">
        <f t="shared" si="6"/>
        <v>2180.1725796752858</v>
      </c>
      <c r="J34" s="17">
        <f t="shared" si="6"/>
        <v>2241.928688159263</v>
      </c>
      <c r="K34" s="17">
        <f t="shared" si="6"/>
        <v>2311.7685877694676</v>
      </c>
      <c r="L34" s="17">
        <f t="shared" si="6"/>
        <v>2297.2848410757947</v>
      </c>
      <c r="M34" s="17">
        <f t="shared" si="6"/>
        <v>2541.7290985520785</v>
      </c>
      <c r="N34" s="17">
        <f t="shared" si="6"/>
        <v>2071.303497345285</v>
      </c>
    </row>
    <row r="35" ht="12.75">
      <c r="A35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60</v>
      </c>
      <c r="P1" t="s">
        <v>61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</row>
    <row r="4" spans="1:29" ht="12.75">
      <c r="A4" s="4" t="s">
        <v>11</v>
      </c>
      <c r="B4" s="8"/>
      <c r="C4" s="8"/>
      <c r="D4" s="8"/>
      <c r="E4" s="8"/>
      <c r="F4" s="19"/>
      <c r="G4" s="8"/>
      <c r="H4" s="8"/>
      <c r="I4" s="8"/>
      <c r="J4" s="8"/>
      <c r="K4" s="8"/>
      <c r="L4" s="8"/>
      <c r="M4" s="8"/>
      <c r="N4" s="8"/>
      <c r="P4" s="4" t="s">
        <v>11</v>
      </c>
      <c r="Q4" s="20">
        <v>2</v>
      </c>
      <c r="R4" s="20"/>
      <c r="S4" s="20"/>
      <c r="T4" s="20"/>
      <c r="U4" s="20"/>
      <c r="V4" s="20"/>
      <c r="W4" s="20"/>
      <c r="X4" s="20"/>
      <c r="Y4" s="8"/>
      <c r="Z4" s="8"/>
      <c r="AA4" s="8"/>
      <c r="AB4" s="8"/>
      <c r="AC4" s="8">
        <f>SUM(Q4:AB4)</f>
        <v>2</v>
      </c>
    </row>
    <row r="5" spans="1:29" ht="12.75">
      <c r="A5" s="4" t="s">
        <v>62</v>
      </c>
      <c r="B5" s="8"/>
      <c r="C5" s="8"/>
      <c r="D5" s="8"/>
      <c r="E5" s="8"/>
      <c r="F5" s="19"/>
      <c r="G5" s="8"/>
      <c r="H5" s="8"/>
      <c r="I5" s="8"/>
      <c r="J5" s="8"/>
      <c r="K5" s="8"/>
      <c r="L5" s="8"/>
      <c r="M5" s="8"/>
      <c r="N5" s="8"/>
      <c r="P5" s="4" t="s">
        <v>62</v>
      </c>
      <c r="Q5" s="20"/>
      <c r="R5" s="20"/>
      <c r="S5" s="20"/>
      <c r="T5" s="20"/>
      <c r="U5" s="20"/>
      <c r="V5" s="20"/>
      <c r="W5" s="20"/>
      <c r="X5" s="20"/>
      <c r="Y5" s="8"/>
      <c r="Z5" s="8"/>
      <c r="AA5" s="8"/>
      <c r="AB5" s="8"/>
      <c r="AC5" s="8"/>
    </row>
    <row r="6" spans="1:29" ht="12.75">
      <c r="A6" s="4" t="s">
        <v>9</v>
      </c>
      <c r="B6" s="8"/>
      <c r="C6" s="19"/>
      <c r="D6" s="8"/>
      <c r="E6" s="8"/>
      <c r="F6" s="19"/>
      <c r="G6" s="8"/>
      <c r="H6" s="8"/>
      <c r="I6" s="8"/>
      <c r="J6" s="8"/>
      <c r="K6" s="8"/>
      <c r="L6" s="8"/>
      <c r="M6" s="8"/>
      <c r="N6" s="8"/>
      <c r="P6" s="4" t="s">
        <v>9</v>
      </c>
      <c r="Q6" s="20">
        <v>2</v>
      </c>
      <c r="R6" s="20"/>
      <c r="S6" s="20"/>
      <c r="T6" s="20"/>
      <c r="U6" s="20"/>
      <c r="V6" s="20"/>
      <c r="W6" s="20"/>
      <c r="X6" s="20"/>
      <c r="Y6" s="8"/>
      <c r="Z6" s="8"/>
      <c r="AA6" s="8"/>
      <c r="AB6" s="8"/>
      <c r="AC6" s="8">
        <f aca="true" t="shared" si="0" ref="AC6:AC11">SUM(Q6:AB6)</f>
        <v>2</v>
      </c>
    </row>
    <row r="7" spans="1:29" ht="12.75">
      <c r="A7" s="4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4" t="s">
        <v>14</v>
      </c>
      <c r="Q7" s="8">
        <v>326</v>
      </c>
      <c r="R7" s="8">
        <v>320</v>
      </c>
      <c r="S7" s="8">
        <v>299</v>
      </c>
      <c r="T7" s="8">
        <v>346</v>
      </c>
      <c r="U7" s="8">
        <v>123</v>
      </c>
      <c r="V7" s="8">
        <v>268</v>
      </c>
      <c r="W7" s="8">
        <v>491</v>
      </c>
      <c r="X7" s="8">
        <v>759</v>
      </c>
      <c r="Y7" s="8">
        <v>371</v>
      </c>
      <c r="Z7" s="8">
        <v>241</v>
      </c>
      <c r="AA7" s="8">
        <v>22</v>
      </c>
      <c r="AB7" s="8">
        <v>24</v>
      </c>
      <c r="AC7" s="8">
        <f t="shared" si="0"/>
        <v>3590</v>
      </c>
    </row>
    <row r="8" spans="1:29" ht="12.75">
      <c r="A8" s="4" t="s">
        <v>17</v>
      </c>
      <c r="B8" s="8"/>
      <c r="C8" s="20"/>
      <c r="D8" s="20"/>
      <c r="E8" s="20"/>
      <c r="F8" s="20">
        <v>11</v>
      </c>
      <c r="G8" s="20"/>
      <c r="H8" s="20"/>
      <c r="I8" s="8">
        <v>12</v>
      </c>
      <c r="J8" s="8"/>
      <c r="K8" s="8">
        <v>1</v>
      </c>
      <c r="L8" s="8">
        <v>2</v>
      </c>
      <c r="M8" s="8"/>
      <c r="N8" s="8">
        <f>SUM(B8:M8)</f>
        <v>26</v>
      </c>
      <c r="P8" s="4" t="s">
        <v>17</v>
      </c>
      <c r="Q8" s="8"/>
      <c r="R8" s="8">
        <v>37</v>
      </c>
      <c r="S8" s="8">
        <v>123</v>
      </c>
      <c r="T8" s="8"/>
      <c r="U8" s="8"/>
      <c r="V8" s="8"/>
      <c r="W8" s="8">
        <v>13</v>
      </c>
      <c r="X8" s="8">
        <v>89</v>
      </c>
      <c r="Y8" s="8">
        <v>113</v>
      </c>
      <c r="Z8" s="8">
        <v>114</v>
      </c>
      <c r="AA8" s="8">
        <v>62</v>
      </c>
      <c r="AB8" s="8">
        <v>42</v>
      </c>
      <c r="AC8" s="8">
        <f t="shared" si="0"/>
        <v>593</v>
      </c>
    </row>
    <row r="9" spans="1:29" ht="12.75">
      <c r="A9" s="4" t="s">
        <v>18</v>
      </c>
      <c r="B9" s="8">
        <v>84</v>
      </c>
      <c r="C9" s="8">
        <v>57</v>
      </c>
      <c r="D9" s="8">
        <v>51</v>
      </c>
      <c r="E9" s="8">
        <v>53</v>
      </c>
      <c r="F9" s="8">
        <v>46</v>
      </c>
      <c r="G9" s="8">
        <v>65</v>
      </c>
      <c r="H9" s="8">
        <v>78</v>
      </c>
      <c r="I9" s="8">
        <v>68</v>
      </c>
      <c r="J9" s="8">
        <v>96</v>
      </c>
      <c r="K9" s="8">
        <v>101</v>
      </c>
      <c r="L9" s="8">
        <v>85</v>
      </c>
      <c r="M9" s="8">
        <v>75</v>
      </c>
      <c r="N9" s="8">
        <f>SUM(B9:M9)</f>
        <v>859</v>
      </c>
      <c r="P9" s="4" t="s">
        <v>18</v>
      </c>
      <c r="Q9" s="8">
        <v>339</v>
      </c>
      <c r="R9" s="8">
        <v>289</v>
      </c>
      <c r="S9" s="8">
        <v>328</v>
      </c>
      <c r="T9" s="8">
        <v>509</v>
      </c>
      <c r="U9" s="8">
        <v>418</v>
      </c>
      <c r="V9" s="8">
        <v>90</v>
      </c>
      <c r="W9" s="8">
        <v>242</v>
      </c>
      <c r="X9" s="8">
        <v>109</v>
      </c>
      <c r="Y9" s="8">
        <v>162</v>
      </c>
      <c r="Z9" s="8">
        <v>134</v>
      </c>
      <c r="AA9" s="8">
        <v>90</v>
      </c>
      <c r="AB9" s="8">
        <v>151</v>
      </c>
      <c r="AC9" s="8">
        <f t="shared" si="0"/>
        <v>2861</v>
      </c>
    </row>
    <row r="10" spans="1:29" ht="12.75">
      <c r="A10" s="4" t="s">
        <v>19</v>
      </c>
      <c r="B10" s="8">
        <v>29</v>
      </c>
      <c r="C10" s="21">
        <v>17</v>
      </c>
      <c r="D10" s="22">
        <v>30</v>
      </c>
      <c r="E10" s="22">
        <v>28</v>
      </c>
      <c r="F10" s="22">
        <v>29</v>
      </c>
      <c r="G10" s="22">
        <v>22</v>
      </c>
      <c r="H10" s="22">
        <v>25</v>
      </c>
      <c r="I10" s="8">
        <v>8</v>
      </c>
      <c r="J10" s="8">
        <v>1</v>
      </c>
      <c r="K10" s="8">
        <v>17</v>
      </c>
      <c r="L10" s="8">
        <v>22</v>
      </c>
      <c r="M10" s="8">
        <v>13</v>
      </c>
      <c r="N10" s="8">
        <f>SUM(B10:M10)</f>
        <v>241</v>
      </c>
      <c r="P10" s="4" t="s">
        <v>19</v>
      </c>
      <c r="Q10" s="8">
        <v>155</v>
      </c>
      <c r="R10" s="22">
        <v>278</v>
      </c>
      <c r="S10" s="22">
        <v>403</v>
      </c>
      <c r="T10" s="22">
        <v>272</v>
      </c>
      <c r="U10" s="22">
        <v>319</v>
      </c>
      <c r="V10" s="22">
        <v>420</v>
      </c>
      <c r="W10" s="22">
        <v>358</v>
      </c>
      <c r="X10" s="22">
        <v>209</v>
      </c>
      <c r="Y10" s="8">
        <v>116</v>
      </c>
      <c r="Z10" s="8">
        <v>106</v>
      </c>
      <c r="AA10" s="8">
        <v>34</v>
      </c>
      <c r="AB10" s="8">
        <v>73</v>
      </c>
      <c r="AC10" s="8">
        <f t="shared" si="0"/>
        <v>2743</v>
      </c>
    </row>
    <row r="11" spans="1:29" ht="12.75">
      <c r="A11" s="1" t="s">
        <v>20</v>
      </c>
      <c r="B11" s="10">
        <f aca="true" t="shared" si="1" ref="B11:M11">SUM(B4:B10)</f>
        <v>113</v>
      </c>
      <c r="C11" s="10">
        <f t="shared" si="1"/>
        <v>74</v>
      </c>
      <c r="D11" s="10">
        <f t="shared" si="1"/>
        <v>81</v>
      </c>
      <c r="E11" s="10">
        <f t="shared" si="1"/>
        <v>81</v>
      </c>
      <c r="F11" s="10">
        <f t="shared" si="1"/>
        <v>86</v>
      </c>
      <c r="G11" s="10">
        <f t="shared" si="1"/>
        <v>87</v>
      </c>
      <c r="H11" s="10">
        <f t="shared" si="1"/>
        <v>103</v>
      </c>
      <c r="I11" s="10">
        <f t="shared" si="1"/>
        <v>88</v>
      </c>
      <c r="J11" s="10">
        <f t="shared" si="1"/>
        <v>97</v>
      </c>
      <c r="K11" s="10">
        <f t="shared" si="1"/>
        <v>119</v>
      </c>
      <c r="L11" s="10">
        <f t="shared" si="1"/>
        <v>109</v>
      </c>
      <c r="M11" s="10">
        <f t="shared" si="1"/>
        <v>88</v>
      </c>
      <c r="N11" s="10">
        <f>SUM(B11:M11)</f>
        <v>1126</v>
      </c>
      <c r="P11" s="1" t="s">
        <v>20</v>
      </c>
      <c r="Q11" s="10">
        <f aca="true" t="shared" si="2" ref="Q11:AB11">SUM(Q4:Q10)</f>
        <v>824</v>
      </c>
      <c r="R11" s="10">
        <f t="shared" si="2"/>
        <v>924</v>
      </c>
      <c r="S11" s="10">
        <f t="shared" si="2"/>
        <v>1153</v>
      </c>
      <c r="T11" s="10">
        <f t="shared" si="2"/>
        <v>1127</v>
      </c>
      <c r="U11" s="10">
        <f t="shared" si="2"/>
        <v>860</v>
      </c>
      <c r="V11" s="10">
        <f t="shared" si="2"/>
        <v>778</v>
      </c>
      <c r="W11" s="10">
        <f t="shared" si="2"/>
        <v>1104</v>
      </c>
      <c r="X11" s="10">
        <f t="shared" si="2"/>
        <v>1166</v>
      </c>
      <c r="Y11" s="10">
        <f t="shared" si="2"/>
        <v>762</v>
      </c>
      <c r="Z11" s="10">
        <f t="shared" si="2"/>
        <v>595</v>
      </c>
      <c r="AA11" s="10">
        <f t="shared" si="2"/>
        <v>208</v>
      </c>
      <c r="AB11" s="10">
        <f t="shared" si="2"/>
        <v>290</v>
      </c>
      <c r="AC11" s="8">
        <f t="shared" si="0"/>
        <v>9791</v>
      </c>
    </row>
    <row r="12" spans="1:16" ht="12.75">
      <c r="A12" s="5" t="s">
        <v>24</v>
      </c>
      <c r="P12" s="5" t="s">
        <v>24</v>
      </c>
    </row>
    <row r="14" spans="1:16" ht="12.75">
      <c r="A14" t="s">
        <v>60</v>
      </c>
      <c r="P14" t="s">
        <v>61</v>
      </c>
    </row>
    <row r="15" spans="1:16" ht="12.75">
      <c r="A15" t="s">
        <v>31</v>
      </c>
      <c r="P15" t="s">
        <v>31</v>
      </c>
    </row>
    <row r="16" spans="1:29" ht="12.75">
      <c r="A16" s="1" t="s">
        <v>21</v>
      </c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28</v>
      </c>
      <c r="L16" s="2" t="s">
        <v>29</v>
      </c>
      <c r="M16" s="2" t="s">
        <v>30</v>
      </c>
      <c r="N16" s="6" t="s">
        <v>25</v>
      </c>
      <c r="P16" s="1" t="s">
        <v>21</v>
      </c>
      <c r="Q16" s="2" t="s">
        <v>0</v>
      </c>
      <c r="R16" s="2" t="s">
        <v>1</v>
      </c>
      <c r="S16" s="2" t="s">
        <v>2</v>
      </c>
      <c r="T16" s="2" t="s">
        <v>3</v>
      </c>
      <c r="U16" s="2" t="s">
        <v>4</v>
      </c>
      <c r="V16" s="2" t="s">
        <v>5</v>
      </c>
      <c r="W16" s="2" t="s">
        <v>6</v>
      </c>
      <c r="X16" s="2" t="s">
        <v>7</v>
      </c>
      <c r="Y16" s="2" t="s">
        <v>8</v>
      </c>
      <c r="Z16" s="2" t="s">
        <v>28</v>
      </c>
      <c r="AA16" s="2" t="s">
        <v>29</v>
      </c>
      <c r="AB16" s="2" t="s">
        <v>30</v>
      </c>
      <c r="AC16" s="6" t="s">
        <v>25</v>
      </c>
    </row>
    <row r="17" spans="1:29" ht="12.75">
      <c r="A17" s="4" t="s">
        <v>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P17" s="4" t="s">
        <v>11</v>
      </c>
      <c r="Q17" s="8">
        <v>7561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>
        <f>SUM(Q17:AB17)</f>
        <v>7561</v>
      </c>
    </row>
    <row r="18" spans="1:29" ht="12.75">
      <c r="A18" s="4" t="s">
        <v>62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P18" s="4" t="s">
        <v>62</v>
      </c>
      <c r="Q18" s="8">
        <v>4876</v>
      </c>
      <c r="R18" s="8">
        <v>10250</v>
      </c>
      <c r="S18" s="8">
        <v>11151</v>
      </c>
      <c r="T18" s="8"/>
      <c r="U18" s="8">
        <v>6554</v>
      </c>
      <c r="V18" s="8"/>
      <c r="W18" s="8">
        <v>3636</v>
      </c>
      <c r="X18" s="8"/>
      <c r="Y18" s="8">
        <v>12558</v>
      </c>
      <c r="Z18" s="8">
        <v>2620</v>
      </c>
      <c r="AA18" s="8">
        <v>18758</v>
      </c>
      <c r="AB18" s="8">
        <v>15073</v>
      </c>
      <c r="AC18" s="8">
        <f aca="true" t="shared" si="3" ref="AC18:AC24">SUM(Q18:AB18)</f>
        <v>85476</v>
      </c>
    </row>
    <row r="19" spans="1:29" ht="12.75">
      <c r="A19" s="4" t="s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P19" s="4" t="s">
        <v>9</v>
      </c>
      <c r="Q19" s="8">
        <v>3451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f t="shared" si="3"/>
        <v>3451</v>
      </c>
    </row>
    <row r="20" spans="1:29" ht="12.75">
      <c r="A20" s="4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P20" s="4" t="s">
        <v>14</v>
      </c>
      <c r="Q20" s="8">
        <v>540114</v>
      </c>
      <c r="R20" s="8">
        <v>507709</v>
      </c>
      <c r="S20" s="8">
        <v>442242</v>
      </c>
      <c r="T20" s="8">
        <v>569863</v>
      </c>
      <c r="U20" s="8">
        <v>215785</v>
      </c>
      <c r="V20" s="8">
        <v>495847</v>
      </c>
      <c r="W20" s="8">
        <v>998818</v>
      </c>
      <c r="X20" s="8">
        <v>1582826</v>
      </c>
      <c r="Y20" s="8">
        <v>756482</v>
      </c>
      <c r="Z20" s="8">
        <v>501883</v>
      </c>
      <c r="AA20" s="8">
        <v>49605</v>
      </c>
      <c r="AB20" s="8">
        <v>19013</v>
      </c>
      <c r="AC20" s="8">
        <f t="shared" si="3"/>
        <v>6680187</v>
      </c>
    </row>
    <row r="21" spans="1:29" ht="12.75">
      <c r="A21" s="4" t="s">
        <v>17</v>
      </c>
      <c r="B21" s="8"/>
      <c r="C21" s="8">
        <v>128</v>
      </c>
      <c r="D21" s="8"/>
      <c r="E21" s="8">
        <v>150</v>
      </c>
      <c r="F21" s="8">
        <v>27541</v>
      </c>
      <c r="G21" s="8"/>
      <c r="H21" s="8">
        <v>453</v>
      </c>
      <c r="I21" s="8">
        <v>30003</v>
      </c>
      <c r="J21" s="8"/>
      <c r="K21" s="8">
        <v>3866</v>
      </c>
      <c r="L21" s="8">
        <v>8775</v>
      </c>
      <c r="M21" s="8"/>
      <c r="N21" s="8">
        <f>SUM(B21:M21)</f>
        <v>70916</v>
      </c>
      <c r="P21" s="4" t="s">
        <v>17</v>
      </c>
      <c r="Q21" s="8"/>
      <c r="R21" s="8">
        <v>97775</v>
      </c>
      <c r="S21" s="8">
        <v>404357</v>
      </c>
      <c r="T21" s="8"/>
      <c r="U21" s="8"/>
      <c r="V21" s="8"/>
      <c r="W21" s="8">
        <v>41672</v>
      </c>
      <c r="X21" s="8">
        <v>301456</v>
      </c>
      <c r="Y21" s="8">
        <v>317766</v>
      </c>
      <c r="Z21" s="8">
        <v>247245</v>
      </c>
      <c r="AA21" s="8">
        <v>188939</v>
      </c>
      <c r="AB21" s="8">
        <v>41986</v>
      </c>
      <c r="AC21" s="8">
        <f t="shared" si="3"/>
        <v>1641196</v>
      </c>
    </row>
    <row r="22" spans="1:29" ht="12.75">
      <c r="A22" s="4" t="s">
        <v>18</v>
      </c>
      <c r="B22" s="8">
        <v>456993</v>
      </c>
      <c r="C22" s="8">
        <v>339632</v>
      </c>
      <c r="D22" s="8">
        <v>286448</v>
      </c>
      <c r="E22" s="8">
        <v>318845</v>
      </c>
      <c r="F22" s="8">
        <v>337517</v>
      </c>
      <c r="G22" s="8">
        <v>418029</v>
      </c>
      <c r="H22" s="8">
        <v>448834</v>
      </c>
      <c r="I22" s="8">
        <v>427290</v>
      </c>
      <c r="J22" s="8">
        <v>603718</v>
      </c>
      <c r="K22" s="8">
        <v>383756</v>
      </c>
      <c r="L22" s="8">
        <v>491947</v>
      </c>
      <c r="M22" s="8">
        <v>504925</v>
      </c>
      <c r="N22" s="8">
        <f>SUM(B22:M22)</f>
        <v>5017934</v>
      </c>
      <c r="P22" s="4" t="s">
        <v>18</v>
      </c>
      <c r="Q22" s="8">
        <v>388087</v>
      </c>
      <c r="R22" s="8">
        <v>355877</v>
      </c>
      <c r="S22" s="8">
        <v>637044</v>
      </c>
      <c r="T22" s="8">
        <v>917920</v>
      </c>
      <c r="U22" s="8">
        <v>707587</v>
      </c>
      <c r="V22" s="8">
        <v>153792</v>
      </c>
      <c r="W22" s="8">
        <v>610370</v>
      </c>
      <c r="X22" s="8">
        <v>298108</v>
      </c>
      <c r="Y22" s="8">
        <v>446835</v>
      </c>
      <c r="Z22" s="8">
        <v>346677</v>
      </c>
      <c r="AA22" s="8">
        <v>221792</v>
      </c>
      <c r="AB22" s="8">
        <v>334830</v>
      </c>
      <c r="AC22" s="8">
        <f t="shared" si="3"/>
        <v>5418919</v>
      </c>
    </row>
    <row r="23" spans="1:29" ht="12.75">
      <c r="A23" s="4" t="s">
        <v>19</v>
      </c>
      <c r="B23" s="8">
        <v>225136</v>
      </c>
      <c r="C23" s="8">
        <v>158759</v>
      </c>
      <c r="D23" s="8">
        <v>239695</v>
      </c>
      <c r="E23" s="8">
        <v>208200</v>
      </c>
      <c r="F23" s="8">
        <v>227661</v>
      </c>
      <c r="G23" s="8">
        <v>149076</v>
      </c>
      <c r="H23" s="8">
        <v>173754</v>
      </c>
      <c r="I23" s="8">
        <v>56019</v>
      </c>
      <c r="J23" s="8">
        <v>4719</v>
      </c>
      <c r="K23" s="8">
        <v>162203</v>
      </c>
      <c r="L23" s="8">
        <v>187573</v>
      </c>
      <c r="M23" s="8">
        <v>109741</v>
      </c>
      <c r="N23" s="8">
        <f>SUM(B23:M23)</f>
        <v>1902536</v>
      </c>
      <c r="P23" s="4" t="s">
        <v>19</v>
      </c>
      <c r="Q23" s="8">
        <v>791994</v>
      </c>
      <c r="R23" s="8">
        <v>1075363</v>
      </c>
      <c r="S23" s="8">
        <v>1457626</v>
      </c>
      <c r="T23" s="8">
        <v>1088034</v>
      </c>
      <c r="U23" s="8">
        <v>1113261</v>
      </c>
      <c r="V23" s="8">
        <v>1142556</v>
      </c>
      <c r="W23" s="8">
        <v>1494100</v>
      </c>
      <c r="X23" s="8">
        <v>840589</v>
      </c>
      <c r="Y23" s="8">
        <v>527612</v>
      </c>
      <c r="Z23" s="8">
        <v>349494</v>
      </c>
      <c r="AA23" s="8">
        <v>158221</v>
      </c>
      <c r="AB23" s="8">
        <v>258260</v>
      </c>
      <c r="AC23" s="9">
        <f t="shared" si="3"/>
        <v>10297110</v>
      </c>
    </row>
    <row r="24" spans="1:29" ht="12.75">
      <c r="A24" s="1" t="s">
        <v>20</v>
      </c>
      <c r="B24" s="10">
        <f aca="true" t="shared" si="4" ref="B24:M24">SUM(B17:B23)</f>
        <v>682129</v>
      </c>
      <c r="C24" s="10">
        <f t="shared" si="4"/>
        <v>498519</v>
      </c>
      <c r="D24" s="10">
        <f t="shared" si="4"/>
        <v>526143</v>
      </c>
      <c r="E24" s="10">
        <f t="shared" si="4"/>
        <v>527195</v>
      </c>
      <c r="F24" s="10">
        <f t="shared" si="4"/>
        <v>592719</v>
      </c>
      <c r="G24" s="10">
        <f t="shared" si="4"/>
        <v>567105</v>
      </c>
      <c r="H24" s="10">
        <f t="shared" si="4"/>
        <v>623041</v>
      </c>
      <c r="I24" s="10">
        <f t="shared" si="4"/>
        <v>513312</v>
      </c>
      <c r="J24" s="10">
        <f t="shared" si="4"/>
        <v>608437</v>
      </c>
      <c r="K24" s="10">
        <f t="shared" si="4"/>
        <v>549825</v>
      </c>
      <c r="L24" s="10">
        <f t="shared" si="4"/>
        <v>688295</v>
      </c>
      <c r="M24" s="10">
        <f t="shared" si="4"/>
        <v>614666</v>
      </c>
      <c r="N24" s="10">
        <f>SUM(B24:M24)</f>
        <v>6991386</v>
      </c>
      <c r="P24" s="1" t="s">
        <v>20</v>
      </c>
      <c r="Q24" s="10">
        <f aca="true" t="shared" si="5" ref="Q24:AB24">SUM(Q17:Q23)</f>
        <v>1736083</v>
      </c>
      <c r="R24" s="10">
        <f t="shared" si="5"/>
        <v>2046974</v>
      </c>
      <c r="S24" s="10">
        <f t="shared" si="5"/>
        <v>2952420</v>
      </c>
      <c r="T24" s="10">
        <f t="shared" si="5"/>
        <v>2575817</v>
      </c>
      <c r="U24" s="10">
        <f t="shared" si="5"/>
        <v>2043187</v>
      </c>
      <c r="V24" s="10">
        <f t="shared" si="5"/>
        <v>1792195</v>
      </c>
      <c r="W24" s="10">
        <f t="shared" si="5"/>
        <v>3148596</v>
      </c>
      <c r="X24" s="10">
        <f t="shared" si="5"/>
        <v>3022979</v>
      </c>
      <c r="Y24" s="10">
        <f t="shared" si="5"/>
        <v>2061253</v>
      </c>
      <c r="Z24" s="10">
        <f t="shared" si="5"/>
        <v>1447919</v>
      </c>
      <c r="AA24" s="10">
        <f t="shared" si="5"/>
        <v>637315</v>
      </c>
      <c r="AB24" s="10">
        <f t="shared" si="5"/>
        <v>669162</v>
      </c>
      <c r="AC24" s="10">
        <f t="shared" si="3"/>
        <v>24133900</v>
      </c>
    </row>
    <row r="25" spans="1:16" ht="12.75">
      <c r="A25" s="5" t="s">
        <v>24</v>
      </c>
      <c r="P25" s="5" t="s">
        <v>24</v>
      </c>
    </row>
    <row r="27" spans="1:16" ht="12.75">
      <c r="A27" t="s">
        <v>60</v>
      </c>
      <c r="P27" t="s">
        <v>61</v>
      </c>
    </row>
    <row r="28" spans="1:16" ht="12.75">
      <c r="A28" t="s">
        <v>32</v>
      </c>
      <c r="P28" t="s">
        <v>32</v>
      </c>
    </row>
    <row r="29" spans="1:29" ht="12.75">
      <c r="A29" s="1" t="s">
        <v>21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28</v>
      </c>
      <c r="L29" s="2" t="s">
        <v>29</v>
      </c>
      <c r="M29" s="2" t="s">
        <v>30</v>
      </c>
      <c r="N29" s="6" t="s">
        <v>25</v>
      </c>
      <c r="P29" s="1" t="s">
        <v>21</v>
      </c>
      <c r="Q29" s="2" t="s">
        <v>0</v>
      </c>
      <c r="R29" s="2" t="s">
        <v>1</v>
      </c>
      <c r="S29" s="2" t="s">
        <v>2</v>
      </c>
      <c r="T29" s="2" t="s">
        <v>3</v>
      </c>
      <c r="U29" s="2" t="s">
        <v>4</v>
      </c>
      <c r="V29" s="2" t="s">
        <v>5</v>
      </c>
      <c r="W29" s="2" t="s">
        <v>6</v>
      </c>
      <c r="X29" s="2" t="s">
        <v>7</v>
      </c>
      <c r="Y29" s="2" t="s">
        <v>8</v>
      </c>
      <c r="Z29" s="2" t="s">
        <v>28</v>
      </c>
      <c r="AA29" s="2" t="s">
        <v>29</v>
      </c>
      <c r="AB29" s="2" t="s">
        <v>30</v>
      </c>
      <c r="AC29" s="6" t="s">
        <v>25</v>
      </c>
    </row>
    <row r="30" spans="1:29" ht="12.75">
      <c r="A30" s="4" t="s">
        <v>11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4" t="s">
        <v>11</v>
      </c>
      <c r="Q30" s="15">
        <f>Q17/Q4</f>
        <v>3780.5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>
        <f>AC17/AC4</f>
        <v>3780.5</v>
      </c>
    </row>
    <row r="31" spans="1:29" ht="12.75">
      <c r="A31" s="4" t="s">
        <v>62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4" t="s">
        <v>62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 s="4" t="s">
        <v>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P32" s="4" t="s">
        <v>9</v>
      </c>
      <c r="Q32" s="15">
        <f>Q19/Q6</f>
        <v>1725.5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>
        <f>AC19/AC6</f>
        <v>1725.5</v>
      </c>
    </row>
    <row r="33" spans="1:29" ht="12.75">
      <c r="A33" s="4" t="s">
        <v>14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P33" s="4" t="s">
        <v>14</v>
      </c>
      <c r="Q33" s="15">
        <f aca="true" t="shared" si="6" ref="Q33:AC33">Q20/Q7</f>
        <v>1656.7914110429447</v>
      </c>
      <c r="R33" s="15">
        <f t="shared" si="6"/>
        <v>1586.590625</v>
      </c>
      <c r="S33" s="15">
        <f t="shared" si="6"/>
        <v>1479.0702341137123</v>
      </c>
      <c r="T33" s="15">
        <f t="shared" si="6"/>
        <v>1647.0028901734104</v>
      </c>
      <c r="U33" s="15">
        <f t="shared" si="6"/>
        <v>1754.3495934959349</v>
      </c>
      <c r="V33" s="15">
        <f t="shared" si="6"/>
        <v>1850.1753731343283</v>
      </c>
      <c r="W33" s="15">
        <f t="shared" si="6"/>
        <v>2034.2525458248472</v>
      </c>
      <c r="X33" s="15">
        <f t="shared" si="6"/>
        <v>2085.409749670619</v>
      </c>
      <c r="Y33" s="15">
        <f t="shared" si="6"/>
        <v>2039.035040431267</v>
      </c>
      <c r="Z33" s="15">
        <f t="shared" si="6"/>
        <v>2082.5020746887967</v>
      </c>
      <c r="AA33" s="15">
        <f t="shared" si="6"/>
        <v>2254.7727272727275</v>
      </c>
      <c r="AB33" s="15">
        <f t="shared" si="6"/>
        <v>792.2083333333334</v>
      </c>
      <c r="AC33" s="15">
        <f t="shared" si="6"/>
        <v>1860.776323119777</v>
      </c>
    </row>
    <row r="34" spans="1:29" ht="12.75">
      <c r="A34" s="4" t="s">
        <v>17</v>
      </c>
      <c r="B34" s="15"/>
      <c r="C34" s="15">
        <v>2000</v>
      </c>
      <c r="D34" s="15"/>
      <c r="E34" s="15">
        <v>2272.727</v>
      </c>
      <c r="F34" s="15">
        <v>2484.977</v>
      </c>
      <c r="G34" s="15"/>
      <c r="H34" s="15"/>
      <c r="I34" s="15">
        <f>I21/I8</f>
        <v>2500.25</v>
      </c>
      <c r="J34" s="15"/>
      <c r="K34" s="15">
        <f>K21/K8</f>
        <v>3866</v>
      </c>
      <c r="L34" s="15">
        <f>L21/L8</f>
        <v>4387.5</v>
      </c>
      <c r="M34" s="15"/>
      <c r="N34" s="15">
        <f>N21/N8</f>
        <v>2727.5384615384614</v>
      </c>
      <c r="P34" s="4" t="s">
        <v>17</v>
      </c>
      <c r="Q34" s="15"/>
      <c r="R34" s="15">
        <f aca="true" t="shared" si="7" ref="R34:AC34">R21/R8</f>
        <v>2642.5675675675675</v>
      </c>
      <c r="S34" s="15">
        <f t="shared" si="7"/>
        <v>3287.4552845528456</v>
      </c>
      <c r="T34" s="15"/>
      <c r="U34" s="15"/>
      <c r="V34" s="15"/>
      <c r="W34" s="15">
        <f t="shared" si="7"/>
        <v>3205.5384615384614</v>
      </c>
      <c r="X34" s="15">
        <f t="shared" si="7"/>
        <v>3387.14606741573</v>
      </c>
      <c r="Y34" s="15">
        <f t="shared" si="7"/>
        <v>2812.0884955752213</v>
      </c>
      <c r="Z34" s="15">
        <f t="shared" si="7"/>
        <v>2168.815789473684</v>
      </c>
      <c r="AA34" s="15">
        <f t="shared" si="7"/>
        <v>3047.4032258064517</v>
      </c>
      <c r="AB34" s="15">
        <f t="shared" si="7"/>
        <v>999.6666666666666</v>
      </c>
      <c r="AC34" s="15">
        <f t="shared" si="7"/>
        <v>2767.6155143338956</v>
      </c>
    </row>
    <row r="35" spans="1:29" ht="12.75">
      <c r="A35" s="4" t="s">
        <v>18</v>
      </c>
      <c r="B35" s="15">
        <f>B22/B9</f>
        <v>5440.392857142857</v>
      </c>
      <c r="C35" s="15">
        <f>C22/C9</f>
        <v>5958.456140350877</v>
      </c>
      <c r="D35" s="15">
        <f>D22/D9</f>
        <v>5616.6274509803925</v>
      </c>
      <c r="E35" s="15">
        <f>E22/E9</f>
        <v>6015.943396226415</v>
      </c>
      <c r="F35" s="15">
        <f>F22/F9</f>
        <v>7337.326086956522</v>
      </c>
      <c r="G35" s="15">
        <f aca="true" t="shared" si="8" ref="G35:N35">G22/G9</f>
        <v>6431.215384615384</v>
      </c>
      <c r="H35" s="15">
        <f t="shared" si="8"/>
        <v>5754.282051282052</v>
      </c>
      <c r="I35" s="15">
        <f t="shared" si="8"/>
        <v>6283.676470588235</v>
      </c>
      <c r="J35" s="15">
        <f t="shared" si="8"/>
        <v>6288.729166666667</v>
      </c>
      <c r="K35" s="15">
        <f t="shared" si="8"/>
        <v>3799.5643564356437</v>
      </c>
      <c r="L35" s="15">
        <f t="shared" si="8"/>
        <v>5787.611764705883</v>
      </c>
      <c r="M35" s="15">
        <f t="shared" si="8"/>
        <v>6732.333333333333</v>
      </c>
      <c r="N35" s="15">
        <f t="shared" si="8"/>
        <v>5841.599534342258</v>
      </c>
      <c r="P35" s="4" t="s">
        <v>18</v>
      </c>
      <c r="Q35" s="15">
        <f aca="true" t="shared" si="9" ref="Q35:AC35">Q22/Q9</f>
        <v>1144.7994100294986</v>
      </c>
      <c r="R35" s="15">
        <f t="shared" si="9"/>
        <v>1231.40830449827</v>
      </c>
      <c r="S35" s="15">
        <f t="shared" si="9"/>
        <v>1942.2073170731708</v>
      </c>
      <c r="T35" s="15">
        <f t="shared" si="9"/>
        <v>1803.3791748526523</v>
      </c>
      <c r="U35" s="15">
        <f t="shared" si="9"/>
        <v>1692.7918660287082</v>
      </c>
      <c r="V35" s="15">
        <f t="shared" si="9"/>
        <v>1708.8</v>
      </c>
      <c r="W35" s="15">
        <f t="shared" si="9"/>
        <v>2522.190082644628</v>
      </c>
      <c r="X35" s="15">
        <f t="shared" si="9"/>
        <v>2734.935779816514</v>
      </c>
      <c r="Y35" s="15">
        <f t="shared" si="9"/>
        <v>2758.240740740741</v>
      </c>
      <c r="Z35" s="15">
        <f t="shared" si="9"/>
        <v>2587.1417910447763</v>
      </c>
      <c r="AA35" s="15">
        <f t="shared" si="9"/>
        <v>2464.3555555555554</v>
      </c>
      <c r="AB35" s="15">
        <f t="shared" si="9"/>
        <v>2217.417218543046</v>
      </c>
      <c r="AC35" s="15">
        <f t="shared" si="9"/>
        <v>1894.0646627053477</v>
      </c>
    </row>
    <row r="36" spans="1:29" ht="12.75">
      <c r="A36" s="4" t="s">
        <v>19</v>
      </c>
      <c r="B36" s="15">
        <f aca="true" t="shared" si="10" ref="B36:N36">B23/B10</f>
        <v>7763.310344827586</v>
      </c>
      <c r="C36" s="15">
        <f t="shared" si="10"/>
        <v>9338.764705882353</v>
      </c>
      <c r="D36" s="15">
        <f t="shared" si="10"/>
        <v>7989.833333333333</v>
      </c>
      <c r="E36" s="15">
        <f t="shared" si="10"/>
        <v>7435.714285714285</v>
      </c>
      <c r="F36" s="15">
        <f t="shared" si="10"/>
        <v>7850.379310344828</v>
      </c>
      <c r="G36" s="15">
        <f t="shared" si="10"/>
        <v>6776.181818181818</v>
      </c>
      <c r="H36" s="15">
        <f t="shared" si="10"/>
        <v>6950.16</v>
      </c>
      <c r="I36" s="15">
        <f t="shared" si="10"/>
        <v>7002.375</v>
      </c>
      <c r="J36" s="15">
        <f t="shared" si="10"/>
        <v>4719</v>
      </c>
      <c r="K36" s="15">
        <f t="shared" si="10"/>
        <v>9541.35294117647</v>
      </c>
      <c r="L36" s="15">
        <f t="shared" si="10"/>
        <v>8526.045454545454</v>
      </c>
      <c r="M36" s="15">
        <f t="shared" si="10"/>
        <v>8441.615384615385</v>
      </c>
      <c r="N36" s="15">
        <f t="shared" si="10"/>
        <v>7894.340248962656</v>
      </c>
      <c r="P36" s="4" t="s">
        <v>19</v>
      </c>
      <c r="Q36" s="15">
        <f aca="true" t="shared" si="11" ref="Q36:AC36">Q23/Q10</f>
        <v>5109.63870967742</v>
      </c>
      <c r="R36" s="15">
        <f t="shared" si="11"/>
        <v>3868.2122302158273</v>
      </c>
      <c r="S36" s="15">
        <f t="shared" si="11"/>
        <v>3616.9379652605458</v>
      </c>
      <c r="T36" s="15">
        <f t="shared" si="11"/>
        <v>4000.125</v>
      </c>
      <c r="U36" s="15">
        <f t="shared" si="11"/>
        <v>3489.846394984326</v>
      </c>
      <c r="V36" s="15">
        <f t="shared" si="11"/>
        <v>2720.3714285714286</v>
      </c>
      <c r="W36" s="15">
        <f t="shared" si="11"/>
        <v>4173.463687150838</v>
      </c>
      <c r="X36" s="15">
        <f t="shared" si="11"/>
        <v>4021.956937799043</v>
      </c>
      <c r="Y36" s="15">
        <f t="shared" si="11"/>
        <v>4548.379310344828</v>
      </c>
      <c r="Z36" s="15">
        <f t="shared" si="11"/>
        <v>3297.1132075471696</v>
      </c>
      <c r="AA36" s="15">
        <f t="shared" si="11"/>
        <v>4653.558823529412</v>
      </c>
      <c r="AB36" s="15">
        <f t="shared" si="11"/>
        <v>3537.8082191780823</v>
      </c>
      <c r="AC36" s="15">
        <f t="shared" si="11"/>
        <v>3753.959168793292</v>
      </c>
    </row>
    <row r="37" spans="1:29" ht="12.75">
      <c r="A37" s="1" t="s">
        <v>20</v>
      </c>
      <c r="B37" s="17">
        <f aca="true" t="shared" si="12" ref="B37:N37">B24/B11</f>
        <v>6036.539823008849</v>
      </c>
      <c r="C37" s="17">
        <f t="shared" si="12"/>
        <v>6736.743243243243</v>
      </c>
      <c r="D37" s="17">
        <f t="shared" si="12"/>
        <v>6495.592592592592</v>
      </c>
      <c r="E37" s="17">
        <f t="shared" si="12"/>
        <v>6508.580246913581</v>
      </c>
      <c r="F37" s="17">
        <f t="shared" si="12"/>
        <v>6892.081395348837</v>
      </c>
      <c r="G37" s="17">
        <f t="shared" si="12"/>
        <v>6518.448275862069</v>
      </c>
      <c r="H37" s="17"/>
      <c r="I37" s="17">
        <f t="shared" si="12"/>
        <v>5833.090909090909</v>
      </c>
      <c r="J37" s="17">
        <f t="shared" si="12"/>
        <v>6272.546391752578</v>
      </c>
      <c r="K37" s="17">
        <f t="shared" si="12"/>
        <v>4620.378151260505</v>
      </c>
      <c r="L37" s="17">
        <f t="shared" si="12"/>
        <v>6314.633027522936</v>
      </c>
      <c r="M37" s="17">
        <f t="shared" si="12"/>
        <v>6984.840909090909</v>
      </c>
      <c r="N37" s="17">
        <f t="shared" si="12"/>
        <v>6209.046181172292</v>
      </c>
      <c r="P37" s="1" t="s">
        <v>20</v>
      </c>
      <c r="Q37" s="17">
        <f aca="true" t="shared" si="13" ref="Q37:AC37">Q24/Q11</f>
        <v>2106.8968446601943</v>
      </c>
      <c r="R37" s="17">
        <f t="shared" si="13"/>
        <v>2215.339826839827</v>
      </c>
      <c r="S37" s="17">
        <f t="shared" si="13"/>
        <v>2560.6418039895925</v>
      </c>
      <c r="T37" s="17">
        <f t="shared" si="13"/>
        <v>2285.5519077196095</v>
      </c>
      <c r="U37" s="17">
        <f t="shared" si="13"/>
        <v>2375.7988372093023</v>
      </c>
      <c r="V37" s="17">
        <f t="shared" si="13"/>
        <v>2303.5925449871465</v>
      </c>
      <c r="W37" s="17">
        <f t="shared" si="13"/>
        <v>2851.9891304347825</v>
      </c>
      <c r="X37" s="17">
        <f t="shared" si="13"/>
        <v>2592.606346483705</v>
      </c>
      <c r="Y37" s="17">
        <f t="shared" si="13"/>
        <v>2705.056430446194</v>
      </c>
      <c r="Z37" s="17">
        <f t="shared" si="13"/>
        <v>2433.4773109243697</v>
      </c>
      <c r="AA37" s="17">
        <f t="shared" si="13"/>
        <v>3064.014423076923</v>
      </c>
      <c r="AB37" s="17">
        <f t="shared" si="13"/>
        <v>2307.455172413793</v>
      </c>
      <c r="AC37" s="17">
        <f t="shared" si="13"/>
        <v>2464.9065468287204</v>
      </c>
    </row>
    <row r="38" spans="1:16" ht="12.75">
      <c r="A38" s="5" t="s">
        <v>24</v>
      </c>
      <c r="P38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44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  <col min="31" max="31" width="20.57421875" style="0" bestFit="1" customWidth="1"/>
    <col min="32" max="43" width="10.7109375" style="0" customWidth="1"/>
  </cols>
  <sheetData>
    <row r="1" spans="1:31" ht="12.75">
      <c r="A1" t="s">
        <v>64</v>
      </c>
      <c r="P1" t="s">
        <v>65</v>
      </c>
      <c r="AE1" t="s">
        <v>66</v>
      </c>
    </row>
    <row r="2" spans="1:31" ht="12.75">
      <c r="A2" t="s">
        <v>23</v>
      </c>
      <c r="P2" t="s">
        <v>23</v>
      </c>
      <c r="AE2" t="s">
        <v>23</v>
      </c>
    </row>
    <row r="3" spans="1:44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  <c r="AE3" s="1" t="s">
        <v>21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  <c r="AM3" s="2" t="s">
        <v>7</v>
      </c>
      <c r="AN3" s="2" t="s">
        <v>8</v>
      </c>
      <c r="AO3" s="2" t="s">
        <v>28</v>
      </c>
      <c r="AP3" s="2" t="s">
        <v>29</v>
      </c>
      <c r="AQ3" s="2" t="s">
        <v>30</v>
      </c>
      <c r="AR3" s="6" t="s">
        <v>25</v>
      </c>
    </row>
    <row r="4" spans="1:44" ht="12.75">
      <c r="A4" s="4" t="s">
        <v>9</v>
      </c>
      <c r="B4" s="20"/>
      <c r="C4" s="20"/>
      <c r="D4" s="20">
        <v>1</v>
      </c>
      <c r="E4" s="20"/>
      <c r="F4" s="8">
        <v>12</v>
      </c>
      <c r="G4" s="20">
        <v>1</v>
      </c>
      <c r="H4" s="8">
        <v>13</v>
      </c>
      <c r="I4" s="20">
        <v>1</v>
      </c>
      <c r="J4" s="20">
        <v>1</v>
      </c>
      <c r="K4" s="8">
        <v>1</v>
      </c>
      <c r="L4" s="8">
        <v>1</v>
      </c>
      <c r="M4" s="8">
        <v>2</v>
      </c>
      <c r="N4" s="8">
        <f>SUM(B4:M4)</f>
        <v>33</v>
      </c>
      <c r="P4" s="4" t="s">
        <v>9</v>
      </c>
      <c r="Q4" s="22"/>
      <c r="R4" s="22"/>
      <c r="S4" s="22"/>
      <c r="T4" s="20">
        <v>1</v>
      </c>
      <c r="U4" s="22"/>
      <c r="V4" s="20"/>
      <c r="W4" s="22"/>
      <c r="X4" s="22"/>
      <c r="Y4" s="22"/>
      <c r="Z4" s="8">
        <v>10</v>
      </c>
      <c r="AA4" s="8">
        <v>6</v>
      </c>
      <c r="AB4" s="8">
        <v>13</v>
      </c>
      <c r="AC4" s="8">
        <f>SUM(Q4:AB4)</f>
        <v>30</v>
      </c>
      <c r="AE4" s="4" t="s">
        <v>9</v>
      </c>
      <c r="AF4" s="22">
        <v>25</v>
      </c>
      <c r="AG4" s="22">
        <f>49+24</f>
        <v>73</v>
      </c>
      <c r="AH4" s="22">
        <f>25+21+50</f>
        <v>96</v>
      </c>
      <c r="AI4" s="22">
        <f>24+28+124</f>
        <v>176</v>
      </c>
      <c r="AJ4" s="22">
        <f>49+1+75+101</f>
        <v>226</v>
      </c>
      <c r="AK4" s="22">
        <f>27+25</f>
        <v>52</v>
      </c>
      <c r="AL4" s="22">
        <f>25+29+34</f>
        <v>88</v>
      </c>
      <c r="AM4" s="22">
        <f>26+25</f>
        <v>51</v>
      </c>
      <c r="AN4" s="22">
        <f>24+23+49</f>
        <v>96</v>
      </c>
      <c r="AO4" s="8">
        <f>40+27+25+75+16</f>
        <v>183</v>
      </c>
      <c r="AP4" s="8">
        <f>25+25+50+27</f>
        <v>127</v>
      </c>
      <c r="AQ4" s="8">
        <f>42+4+50+49</f>
        <v>145</v>
      </c>
      <c r="AR4" s="7">
        <f>SUM(AF4:AQ4)</f>
        <v>1338</v>
      </c>
    </row>
    <row r="5" spans="1:44" ht="12.75">
      <c r="A5" s="4" t="s">
        <v>63</v>
      </c>
      <c r="B5" s="8"/>
      <c r="C5" s="8"/>
      <c r="D5" s="8"/>
      <c r="E5" s="8"/>
      <c r="F5" s="8"/>
      <c r="G5" s="20"/>
      <c r="H5" s="20"/>
      <c r="I5" s="20"/>
      <c r="J5" s="20">
        <f>J20/J35</f>
        <v>1.0479641652603582</v>
      </c>
      <c r="K5" s="8"/>
      <c r="L5" s="8">
        <v>1</v>
      </c>
      <c r="M5" s="8"/>
      <c r="N5" s="8">
        <f aca="true" t="shared" si="0" ref="N5:N12">SUM(B5:M5)</f>
        <v>2.047964165260358</v>
      </c>
      <c r="P5" s="4" t="s">
        <v>98</v>
      </c>
      <c r="Q5" s="22">
        <v>745</v>
      </c>
      <c r="R5" s="22">
        <v>512</v>
      </c>
      <c r="S5" s="22">
        <v>524</v>
      </c>
      <c r="T5" s="22">
        <v>628</v>
      </c>
      <c r="U5" s="22">
        <v>604</v>
      </c>
      <c r="V5" s="22">
        <v>522</v>
      </c>
      <c r="W5" s="22">
        <f>758+57</f>
        <v>815</v>
      </c>
      <c r="X5" s="22">
        <f>850+2</f>
        <v>852</v>
      </c>
      <c r="Y5" s="22">
        <v>883</v>
      </c>
      <c r="Z5" s="8">
        <v>1028</v>
      </c>
      <c r="AA5" s="8">
        <v>1149</v>
      </c>
      <c r="AB5" s="8">
        <v>1028</v>
      </c>
      <c r="AC5" s="8">
        <f aca="true" t="shared" si="1" ref="AC5:AC12">SUM(Q5:AB5)</f>
        <v>9290</v>
      </c>
      <c r="AE5" s="4" t="s">
        <v>55</v>
      </c>
      <c r="AF5" s="22">
        <v>76</v>
      </c>
      <c r="AG5" s="22">
        <v>24</v>
      </c>
      <c r="AH5" s="22">
        <v>28</v>
      </c>
      <c r="AI5" s="22">
        <v>43</v>
      </c>
      <c r="AJ5" s="22">
        <v>43</v>
      </c>
      <c r="AK5" s="22">
        <v>15</v>
      </c>
      <c r="AL5" s="22">
        <v>27</v>
      </c>
      <c r="AM5" s="22">
        <v>23</v>
      </c>
      <c r="AN5" s="22">
        <v>37</v>
      </c>
      <c r="AO5" s="8">
        <v>56</v>
      </c>
      <c r="AP5" s="8"/>
      <c r="AQ5" s="8">
        <v>46</v>
      </c>
      <c r="AR5" s="8">
        <f aca="true" t="shared" si="2" ref="AR5:AR13">SUM(AF5:AQ5)</f>
        <v>418</v>
      </c>
    </row>
    <row r="6" spans="1:44" ht="12.75">
      <c r="A6" s="4" t="s">
        <v>12</v>
      </c>
      <c r="B6" s="8">
        <v>29</v>
      </c>
      <c r="C6" s="8">
        <v>16</v>
      </c>
      <c r="D6" s="8">
        <v>17</v>
      </c>
      <c r="E6" s="8">
        <v>26</v>
      </c>
      <c r="F6" s="8">
        <v>18</v>
      </c>
      <c r="G6" s="8">
        <v>18</v>
      </c>
      <c r="H6" s="8">
        <v>25</v>
      </c>
      <c r="I6" s="8">
        <v>17</v>
      </c>
      <c r="J6" s="8">
        <v>33</v>
      </c>
      <c r="K6" s="8">
        <v>59</v>
      </c>
      <c r="L6" s="8">
        <v>43</v>
      </c>
      <c r="M6" s="8">
        <v>29</v>
      </c>
      <c r="N6" s="8">
        <f t="shared" si="0"/>
        <v>330</v>
      </c>
      <c r="P6" s="4" t="s">
        <v>12</v>
      </c>
      <c r="Q6" s="8">
        <v>454</v>
      </c>
      <c r="R6" s="8">
        <v>606</v>
      </c>
      <c r="S6" s="8">
        <v>881</v>
      </c>
      <c r="T6" s="8">
        <v>757</v>
      </c>
      <c r="U6" s="8">
        <v>368</v>
      </c>
      <c r="V6" s="8">
        <v>229</v>
      </c>
      <c r="W6" s="8">
        <v>261</v>
      </c>
      <c r="X6" s="8">
        <v>101</v>
      </c>
      <c r="Y6" s="8">
        <f>933+6</f>
        <v>939</v>
      </c>
      <c r="Z6" s="8">
        <v>1559</v>
      </c>
      <c r="AA6" s="8">
        <v>1025</v>
      </c>
      <c r="AB6" s="8">
        <v>859</v>
      </c>
      <c r="AC6" s="8">
        <f t="shared" si="1"/>
        <v>8039</v>
      </c>
      <c r="AE6" s="4" t="s">
        <v>67</v>
      </c>
      <c r="AF6" s="8"/>
      <c r="AG6" s="8">
        <f>26+24</f>
        <v>50</v>
      </c>
      <c r="AH6" s="8">
        <v>71</v>
      </c>
      <c r="AI6" s="8">
        <v>17</v>
      </c>
      <c r="AJ6" s="8">
        <v>89</v>
      </c>
      <c r="AK6" s="8">
        <v>178</v>
      </c>
      <c r="AL6" s="8">
        <v>94</v>
      </c>
      <c r="AM6" s="8">
        <v>94</v>
      </c>
      <c r="AN6" s="8"/>
      <c r="AO6" s="8"/>
      <c r="AP6" s="8"/>
      <c r="AQ6" s="8">
        <v>18</v>
      </c>
      <c r="AR6" s="8">
        <f t="shared" si="2"/>
        <v>611</v>
      </c>
    </row>
    <row r="7" spans="1:44" ht="12.75">
      <c r="A7" s="4" t="s">
        <v>11</v>
      </c>
      <c r="B7" s="8"/>
      <c r="C7" s="19"/>
      <c r="D7" s="8"/>
      <c r="E7" s="8"/>
      <c r="F7" s="8"/>
      <c r="G7" s="20">
        <v>1</v>
      </c>
      <c r="H7" s="20"/>
      <c r="I7" s="20">
        <v>2</v>
      </c>
      <c r="J7" s="8"/>
      <c r="K7" s="8"/>
      <c r="L7" s="8"/>
      <c r="M7" s="8"/>
      <c r="N7" s="8">
        <f t="shared" si="0"/>
        <v>3</v>
      </c>
      <c r="P7" s="4" t="s">
        <v>14</v>
      </c>
      <c r="Q7" s="22">
        <v>1402</v>
      </c>
      <c r="R7" s="22">
        <v>868</v>
      </c>
      <c r="S7" s="22">
        <v>1315</v>
      </c>
      <c r="T7" s="22">
        <v>1848</v>
      </c>
      <c r="U7" s="22">
        <v>1649</v>
      </c>
      <c r="V7" s="22">
        <v>1708</v>
      </c>
      <c r="W7" s="22">
        <v>1221</v>
      </c>
      <c r="X7" s="22">
        <v>1721</v>
      </c>
      <c r="Y7" s="22">
        <v>2352</v>
      </c>
      <c r="Z7" s="8">
        <v>3280</v>
      </c>
      <c r="AA7" s="8">
        <v>1661</v>
      </c>
      <c r="AB7" s="8">
        <v>1433</v>
      </c>
      <c r="AC7" s="8">
        <f t="shared" si="1"/>
        <v>20458</v>
      </c>
      <c r="AE7" s="4" t="s">
        <v>14</v>
      </c>
      <c r="AF7" s="8">
        <v>6854</v>
      </c>
      <c r="AG7" s="8">
        <v>4338</v>
      </c>
      <c r="AH7" s="8">
        <v>6057</v>
      </c>
      <c r="AI7" s="8">
        <v>5975</v>
      </c>
      <c r="AJ7" s="8">
        <v>6972</v>
      </c>
      <c r="AK7" s="8">
        <v>6667</v>
      </c>
      <c r="AL7" s="8">
        <v>8184</v>
      </c>
      <c r="AM7" s="8">
        <v>6992</v>
      </c>
      <c r="AN7" s="8">
        <v>6733</v>
      </c>
      <c r="AO7" s="8">
        <v>8000</v>
      </c>
      <c r="AP7" s="8">
        <v>4799</v>
      </c>
      <c r="AQ7" s="8">
        <v>5337</v>
      </c>
      <c r="AR7" s="8">
        <f t="shared" si="2"/>
        <v>76908</v>
      </c>
    </row>
    <row r="8" spans="1:44" ht="12.75">
      <c r="A8" s="4" t="s">
        <v>14</v>
      </c>
      <c r="B8" s="20"/>
      <c r="C8" s="8">
        <v>7</v>
      </c>
      <c r="D8" s="8"/>
      <c r="E8" s="8">
        <v>21</v>
      </c>
      <c r="F8" s="8"/>
      <c r="G8" s="8">
        <v>24</v>
      </c>
      <c r="H8" s="20">
        <f>H23/H38</f>
        <v>0.011980904616387773</v>
      </c>
      <c r="I8" s="23">
        <v>22</v>
      </c>
      <c r="J8" s="8">
        <v>11</v>
      </c>
      <c r="K8" s="8">
        <v>72</v>
      </c>
      <c r="L8" s="8"/>
      <c r="M8" s="8">
        <v>4</v>
      </c>
      <c r="N8" s="8">
        <f t="shared" si="0"/>
        <v>161.0119809046164</v>
      </c>
      <c r="P8" s="4" t="s">
        <v>16</v>
      </c>
      <c r="Q8" s="22"/>
      <c r="R8" s="22"/>
      <c r="S8" s="22"/>
      <c r="T8" s="22"/>
      <c r="U8" s="22"/>
      <c r="V8" s="22"/>
      <c r="W8" s="22"/>
      <c r="X8" s="22"/>
      <c r="Y8" s="22"/>
      <c r="Z8" s="8">
        <v>15</v>
      </c>
      <c r="AA8" s="8">
        <v>61</v>
      </c>
      <c r="AB8" s="8">
        <v>25</v>
      </c>
      <c r="AC8" s="8"/>
      <c r="AE8" s="4" t="s">
        <v>16</v>
      </c>
      <c r="AF8" s="8">
        <v>371</v>
      </c>
      <c r="AG8" s="8">
        <v>164</v>
      </c>
      <c r="AH8" s="8">
        <v>512</v>
      </c>
      <c r="AI8" s="8">
        <v>453</v>
      </c>
      <c r="AJ8" s="8">
        <v>444</v>
      </c>
      <c r="AK8" s="8">
        <v>528</v>
      </c>
      <c r="AL8" s="8">
        <v>396</v>
      </c>
      <c r="AM8" s="8">
        <v>380</v>
      </c>
      <c r="AN8" s="8">
        <v>816</v>
      </c>
      <c r="AO8" s="8">
        <v>79</v>
      </c>
      <c r="AP8" s="8">
        <v>573</v>
      </c>
      <c r="AQ8" s="8">
        <v>353</v>
      </c>
      <c r="AR8" s="8">
        <f t="shared" si="2"/>
        <v>5069</v>
      </c>
    </row>
    <row r="9" spans="1:44" ht="12.75">
      <c r="A9" s="4" t="s">
        <v>17</v>
      </c>
      <c r="B9" s="8">
        <v>19</v>
      </c>
      <c r="C9" s="8">
        <v>9</v>
      </c>
      <c r="D9" s="8">
        <v>51</v>
      </c>
      <c r="E9" s="8">
        <v>12</v>
      </c>
      <c r="F9" s="8">
        <v>12</v>
      </c>
      <c r="G9" s="8">
        <v>19</v>
      </c>
      <c r="H9" s="8">
        <v>49</v>
      </c>
      <c r="I9" s="8">
        <v>23</v>
      </c>
      <c r="J9" s="8">
        <v>39</v>
      </c>
      <c r="K9" s="8">
        <v>29</v>
      </c>
      <c r="L9" s="8">
        <v>10</v>
      </c>
      <c r="M9" s="8">
        <v>76</v>
      </c>
      <c r="N9" s="8">
        <f t="shared" si="0"/>
        <v>348</v>
      </c>
      <c r="P9" s="4" t="s">
        <v>17</v>
      </c>
      <c r="Q9" s="8">
        <v>402</v>
      </c>
      <c r="R9" s="8">
        <v>195</v>
      </c>
      <c r="S9" s="8">
        <v>268</v>
      </c>
      <c r="T9" s="8">
        <v>566</v>
      </c>
      <c r="U9" s="8">
        <v>396</v>
      </c>
      <c r="V9" s="8">
        <v>145</v>
      </c>
      <c r="W9" s="8">
        <v>201</v>
      </c>
      <c r="X9" s="8">
        <v>479</v>
      </c>
      <c r="Y9" s="8">
        <v>359</v>
      </c>
      <c r="Z9" s="8">
        <v>379</v>
      </c>
      <c r="AA9" s="8">
        <v>432</v>
      </c>
      <c r="AB9" s="8">
        <v>303</v>
      </c>
      <c r="AC9" s="8">
        <f t="shared" si="1"/>
        <v>4125</v>
      </c>
      <c r="AE9" s="4" t="s">
        <v>17</v>
      </c>
      <c r="AF9" s="8">
        <v>1995</v>
      </c>
      <c r="AG9" s="8">
        <v>1599</v>
      </c>
      <c r="AH9" s="8">
        <v>2159</v>
      </c>
      <c r="AI9" s="8">
        <v>3263</v>
      </c>
      <c r="AJ9" s="8">
        <v>2198</v>
      </c>
      <c r="AK9" s="8">
        <v>1933</v>
      </c>
      <c r="AL9" s="8">
        <v>1877</v>
      </c>
      <c r="AM9" s="8">
        <v>1662</v>
      </c>
      <c r="AN9" s="8">
        <v>2775</v>
      </c>
      <c r="AO9" s="8">
        <v>2725</v>
      </c>
      <c r="AP9" s="8">
        <v>1813</v>
      </c>
      <c r="AQ9" s="8">
        <v>2019</v>
      </c>
      <c r="AR9" s="8">
        <f t="shared" si="2"/>
        <v>26018</v>
      </c>
    </row>
    <row r="10" spans="1:44" ht="12.75">
      <c r="A10" s="4" t="s">
        <v>18</v>
      </c>
      <c r="B10" s="8">
        <v>118</v>
      </c>
      <c r="C10" s="8">
        <v>98</v>
      </c>
      <c r="D10" s="8">
        <v>117</v>
      </c>
      <c r="E10" s="8">
        <v>118</v>
      </c>
      <c r="F10" s="8">
        <v>123</v>
      </c>
      <c r="G10" s="8">
        <v>150</v>
      </c>
      <c r="H10" s="8">
        <v>118</v>
      </c>
      <c r="I10" s="8">
        <v>105</v>
      </c>
      <c r="J10" s="8">
        <v>101</v>
      </c>
      <c r="K10" s="8">
        <v>141</v>
      </c>
      <c r="L10" s="8">
        <v>120</v>
      </c>
      <c r="M10" s="8">
        <v>140</v>
      </c>
      <c r="N10" s="8">
        <f t="shared" si="0"/>
        <v>1449</v>
      </c>
      <c r="P10" s="4" t="s">
        <v>18</v>
      </c>
      <c r="Q10" s="8">
        <v>55</v>
      </c>
      <c r="R10" s="8">
        <v>16</v>
      </c>
      <c r="S10" s="8">
        <v>32</v>
      </c>
      <c r="T10" s="8">
        <v>10</v>
      </c>
      <c r="U10" s="8">
        <v>15</v>
      </c>
      <c r="V10" s="8">
        <v>72</v>
      </c>
      <c r="W10" s="8">
        <v>49</v>
      </c>
      <c r="X10" s="8">
        <v>30</v>
      </c>
      <c r="Y10" s="8">
        <v>132</v>
      </c>
      <c r="Z10" s="8">
        <v>113</v>
      </c>
      <c r="AA10" s="8">
        <v>77</v>
      </c>
      <c r="AB10" s="8">
        <v>125</v>
      </c>
      <c r="AC10" s="8">
        <f t="shared" si="1"/>
        <v>726</v>
      </c>
      <c r="AE10" s="4" t="s">
        <v>18</v>
      </c>
      <c r="AF10" s="8">
        <v>299</v>
      </c>
      <c r="AG10" s="8">
        <v>80</v>
      </c>
      <c r="AH10" s="8">
        <v>433</v>
      </c>
      <c r="AI10" s="8">
        <v>637</v>
      </c>
      <c r="AJ10" s="8">
        <v>591</v>
      </c>
      <c r="AK10" s="8">
        <v>993</v>
      </c>
      <c r="AL10" s="8">
        <v>1252</v>
      </c>
      <c r="AM10" s="8">
        <v>1234</v>
      </c>
      <c r="AN10" s="8">
        <v>1076</v>
      </c>
      <c r="AO10" s="8">
        <v>1125</v>
      </c>
      <c r="AP10" s="8">
        <v>869</v>
      </c>
      <c r="AQ10" s="8">
        <v>961</v>
      </c>
      <c r="AR10" s="8">
        <f t="shared" si="2"/>
        <v>9550</v>
      </c>
    </row>
    <row r="11" spans="1:44" ht="12.75">
      <c r="A11" s="4" t="s">
        <v>19</v>
      </c>
      <c r="B11" s="8">
        <v>59</v>
      </c>
      <c r="C11" s="21">
        <v>64</v>
      </c>
      <c r="D11" s="22">
        <v>78</v>
      </c>
      <c r="E11" s="22">
        <v>47</v>
      </c>
      <c r="F11" s="22">
        <v>72</v>
      </c>
      <c r="G11" s="22">
        <v>73</v>
      </c>
      <c r="H11" s="22">
        <v>32</v>
      </c>
      <c r="I11" s="8">
        <v>41</v>
      </c>
      <c r="J11" s="8">
        <v>28</v>
      </c>
      <c r="K11" s="8">
        <v>56</v>
      </c>
      <c r="L11" s="8">
        <v>63</v>
      </c>
      <c r="M11" s="8">
        <v>70</v>
      </c>
      <c r="N11" s="8">
        <f t="shared" si="0"/>
        <v>683</v>
      </c>
      <c r="P11" s="4" t="s">
        <v>19</v>
      </c>
      <c r="Q11" s="8">
        <v>93</v>
      </c>
      <c r="R11" s="21">
        <v>103</v>
      </c>
      <c r="S11" s="22">
        <v>121</v>
      </c>
      <c r="T11" s="22">
        <v>133</v>
      </c>
      <c r="U11" s="22">
        <v>86</v>
      </c>
      <c r="V11" s="22">
        <v>68</v>
      </c>
      <c r="W11" s="22">
        <v>144</v>
      </c>
      <c r="X11" s="8">
        <v>135</v>
      </c>
      <c r="Y11" s="8">
        <v>93</v>
      </c>
      <c r="Z11" s="8">
        <v>38</v>
      </c>
      <c r="AA11" s="8">
        <v>44</v>
      </c>
      <c r="AB11" s="8">
        <v>235</v>
      </c>
      <c r="AC11" s="8">
        <f t="shared" si="1"/>
        <v>1293</v>
      </c>
      <c r="AE11" s="4" t="s">
        <v>19</v>
      </c>
      <c r="AF11" s="8">
        <v>34</v>
      </c>
      <c r="AG11" s="8">
        <v>42</v>
      </c>
      <c r="AH11" s="8">
        <v>17</v>
      </c>
      <c r="AI11" s="8">
        <v>100</v>
      </c>
      <c r="AJ11" s="8">
        <v>107</v>
      </c>
      <c r="AK11" s="8">
        <v>169</v>
      </c>
      <c r="AL11" s="8">
        <v>204</v>
      </c>
      <c r="AM11" s="8">
        <v>247</v>
      </c>
      <c r="AN11" s="8">
        <v>99</v>
      </c>
      <c r="AO11" s="8">
        <v>112</v>
      </c>
      <c r="AP11" s="8">
        <v>141</v>
      </c>
      <c r="AQ11" s="8">
        <v>185</v>
      </c>
      <c r="AR11" s="8">
        <f t="shared" si="2"/>
        <v>1457</v>
      </c>
    </row>
    <row r="12" spans="1:44" ht="12.75">
      <c r="A12" s="1" t="s">
        <v>20</v>
      </c>
      <c r="B12" s="10">
        <f aca="true" t="shared" si="3" ref="B12:M12">SUM(B4:B11)</f>
        <v>225</v>
      </c>
      <c r="C12" s="10">
        <f t="shared" si="3"/>
        <v>194</v>
      </c>
      <c r="D12" s="10">
        <f t="shared" si="3"/>
        <v>264</v>
      </c>
      <c r="E12" s="10">
        <f t="shared" si="3"/>
        <v>224</v>
      </c>
      <c r="F12" s="10">
        <f t="shared" si="3"/>
        <v>237</v>
      </c>
      <c r="G12" s="10">
        <f t="shared" si="3"/>
        <v>286</v>
      </c>
      <c r="H12" s="10">
        <f t="shared" si="3"/>
        <v>237.0119809046164</v>
      </c>
      <c r="I12" s="10">
        <f t="shared" si="3"/>
        <v>211</v>
      </c>
      <c r="J12" s="10">
        <f t="shared" si="3"/>
        <v>214.04796416526037</v>
      </c>
      <c r="K12" s="10">
        <f t="shared" si="3"/>
        <v>358</v>
      </c>
      <c r="L12" s="10">
        <f t="shared" si="3"/>
        <v>238</v>
      </c>
      <c r="M12" s="10">
        <f t="shared" si="3"/>
        <v>321</v>
      </c>
      <c r="N12" s="10">
        <f t="shared" si="0"/>
        <v>3009.059945069877</v>
      </c>
      <c r="P12" s="1" t="s">
        <v>20</v>
      </c>
      <c r="Q12" s="10">
        <f aca="true" t="shared" si="4" ref="Q12:AB12">SUM(Q4:Q11)</f>
        <v>3151</v>
      </c>
      <c r="R12" s="10">
        <f t="shared" si="4"/>
        <v>2300</v>
      </c>
      <c r="S12" s="10">
        <f t="shared" si="4"/>
        <v>3141</v>
      </c>
      <c r="T12" s="10">
        <f t="shared" si="4"/>
        <v>3943</v>
      </c>
      <c r="U12" s="10">
        <f t="shared" si="4"/>
        <v>3118</v>
      </c>
      <c r="V12" s="10">
        <f t="shared" si="4"/>
        <v>2744</v>
      </c>
      <c r="W12" s="10">
        <f t="shared" si="4"/>
        <v>2691</v>
      </c>
      <c r="X12" s="10">
        <f t="shared" si="4"/>
        <v>3318</v>
      </c>
      <c r="Y12" s="10">
        <f t="shared" si="4"/>
        <v>4758</v>
      </c>
      <c r="Z12" s="10">
        <f t="shared" si="4"/>
        <v>6422</v>
      </c>
      <c r="AA12" s="10">
        <f t="shared" si="4"/>
        <v>4455</v>
      </c>
      <c r="AB12" s="10">
        <f t="shared" si="4"/>
        <v>4021</v>
      </c>
      <c r="AC12" s="10">
        <f t="shared" si="1"/>
        <v>44062</v>
      </c>
      <c r="AE12" s="4" t="s">
        <v>49</v>
      </c>
      <c r="AF12" s="8"/>
      <c r="AG12" s="21">
        <v>108</v>
      </c>
      <c r="AH12" s="22">
        <f>52+50</f>
        <v>102</v>
      </c>
      <c r="AI12" s="22">
        <v>28</v>
      </c>
      <c r="AJ12" s="22">
        <v>54</v>
      </c>
      <c r="AK12" s="22">
        <f>53+11</f>
        <v>64</v>
      </c>
      <c r="AL12" s="22">
        <f>135+29</f>
        <v>164</v>
      </c>
      <c r="AM12" s="8">
        <f>81+29</f>
        <v>110</v>
      </c>
      <c r="AN12" s="8">
        <v>188</v>
      </c>
      <c r="AO12" s="8">
        <f>25+161+158+27</f>
        <v>371</v>
      </c>
      <c r="AP12" s="8">
        <f>238+164+13</f>
        <v>415</v>
      </c>
      <c r="AQ12" s="8">
        <f>80+14+183</f>
        <v>277</v>
      </c>
      <c r="AR12" s="9">
        <f t="shared" si="2"/>
        <v>1881</v>
      </c>
    </row>
    <row r="13" spans="1:44" ht="12.75">
      <c r="A13" s="5" t="s">
        <v>24</v>
      </c>
      <c r="P13" s="5" t="s">
        <v>24</v>
      </c>
      <c r="AE13" s="1" t="s">
        <v>20</v>
      </c>
      <c r="AF13" s="10">
        <f aca="true" t="shared" si="5" ref="AF13:AQ13">SUM(AF4:AF12)</f>
        <v>9654</v>
      </c>
      <c r="AG13" s="10">
        <f t="shared" si="5"/>
        <v>6478</v>
      </c>
      <c r="AH13" s="10">
        <f>SUM(AH4:AH12)</f>
        <v>9475</v>
      </c>
      <c r="AI13" s="10">
        <f t="shared" si="5"/>
        <v>10692</v>
      </c>
      <c r="AJ13" s="10">
        <f t="shared" si="5"/>
        <v>10724</v>
      </c>
      <c r="AK13" s="10">
        <f t="shared" si="5"/>
        <v>10599</v>
      </c>
      <c r="AL13" s="10">
        <f t="shared" si="5"/>
        <v>12286</v>
      </c>
      <c r="AM13" s="10">
        <f t="shared" si="5"/>
        <v>10793</v>
      </c>
      <c r="AN13" s="10">
        <f t="shared" si="5"/>
        <v>11820</v>
      </c>
      <c r="AO13" s="10">
        <f t="shared" si="5"/>
        <v>12651</v>
      </c>
      <c r="AP13" s="10">
        <f t="shared" si="5"/>
        <v>8737</v>
      </c>
      <c r="AQ13" s="10">
        <f t="shared" si="5"/>
        <v>9341</v>
      </c>
      <c r="AR13" s="10">
        <f t="shared" si="2"/>
        <v>123250</v>
      </c>
    </row>
    <row r="14" ht="12.75">
      <c r="AE14" s="5" t="s">
        <v>24</v>
      </c>
    </row>
    <row r="16" spans="1:31" ht="12.75">
      <c r="A16" t="s">
        <v>64</v>
      </c>
      <c r="P16" t="s">
        <v>65</v>
      </c>
      <c r="AE16" t="s">
        <v>66</v>
      </c>
    </row>
    <row r="17" spans="1:31" ht="12.75">
      <c r="A17" t="s">
        <v>31</v>
      </c>
      <c r="P17" t="s">
        <v>31</v>
      </c>
      <c r="AE17" t="s">
        <v>31</v>
      </c>
    </row>
    <row r="18" spans="1:44" ht="12.75">
      <c r="A18" s="1" t="s">
        <v>21</v>
      </c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  <c r="J18" s="2" t="s">
        <v>8</v>
      </c>
      <c r="K18" s="2" t="s">
        <v>28</v>
      </c>
      <c r="L18" s="2" t="s">
        <v>29</v>
      </c>
      <c r="M18" s="2" t="s">
        <v>30</v>
      </c>
      <c r="N18" s="6" t="s">
        <v>25</v>
      </c>
      <c r="P18" s="1" t="s">
        <v>21</v>
      </c>
      <c r="Q18" s="2" t="s">
        <v>0</v>
      </c>
      <c r="R18" s="2" t="s">
        <v>1</v>
      </c>
      <c r="S18" s="2" t="s">
        <v>2</v>
      </c>
      <c r="T18" s="2" t="s">
        <v>3</v>
      </c>
      <c r="U18" s="2" t="s">
        <v>4</v>
      </c>
      <c r="V18" s="2" t="s">
        <v>5</v>
      </c>
      <c r="W18" s="2" t="s">
        <v>6</v>
      </c>
      <c r="X18" s="2" t="s">
        <v>7</v>
      </c>
      <c r="Y18" s="2" t="s">
        <v>8</v>
      </c>
      <c r="Z18" s="2" t="s">
        <v>28</v>
      </c>
      <c r="AA18" s="2" t="s">
        <v>29</v>
      </c>
      <c r="AB18" s="2" t="s">
        <v>30</v>
      </c>
      <c r="AC18" s="6" t="s">
        <v>25</v>
      </c>
      <c r="AE18" s="1" t="s">
        <v>21</v>
      </c>
      <c r="AF18" s="2" t="s">
        <v>0</v>
      </c>
      <c r="AG18" s="2" t="s">
        <v>1</v>
      </c>
      <c r="AH18" s="2" t="s">
        <v>2</v>
      </c>
      <c r="AI18" s="2" t="s">
        <v>3</v>
      </c>
      <c r="AJ18" s="2" t="s">
        <v>4</v>
      </c>
      <c r="AK18" s="2" t="s">
        <v>5</v>
      </c>
      <c r="AL18" s="2" t="s">
        <v>6</v>
      </c>
      <c r="AM18" s="2" t="s">
        <v>7</v>
      </c>
      <c r="AN18" s="2" t="s">
        <v>8</v>
      </c>
      <c r="AO18" s="2" t="s">
        <v>28</v>
      </c>
      <c r="AP18" s="2" t="s">
        <v>29</v>
      </c>
      <c r="AQ18" s="2" t="s">
        <v>30</v>
      </c>
      <c r="AR18" s="6" t="s">
        <v>25</v>
      </c>
    </row>
    <row r="19" spans="1:44" ht="12.75">
      <c r="A19" s="4" t="s">
        <v>9</v>
      </c>
      <c r="B19" s="8">
        <v>9167</v>
      </c>
      <c r="C19" s="8">
        <v>6885</v>
      </c>
      <c r="D19" s="8">
        <v>13106</v>
      </c>
      <c r="E19" s="8">
        <v>10619</v>
      </c>
      <c r="F19" s="8">
        <f>106812+1619</f>
        <v>108431</v>
      </c>
      <c r="G19" s="8">
        <v>13700</v>
      </c>
      <c r="H19" s="8">
        <f>109440+2798</f>
        <v>112238</v>
      </c>
      <c r="I19" s="8">
        <v>19093</v>
      </c>
      <c r="J19" s="8">
        <v>22892</v>
      </c>
      <c r="K19" s="8">
        <v>20460</v>
      </c>
      <c r="L19" s="8">
        <v>26181</v>
      </c>
      <c r="M19" s="8">
        <v>43054</v>
      </c>
      <c r="N19" s="7">
        <f>SUM(B19:M19)</f>
        <v>405826</v>
      </c>
      <c r="P19" s="4" t="s">
        <v>9</v>
      </c>
      <c r="Q19" s="8">
        <v>149207</v>
      </c>
      <c r="R19" s="8">
        <v>36102</v>
      </c>
      <c r="S19" s="8">
        <v>200797</v>
      </c>
      <c r="T19" s="8">
        <v>13077</v>
      </c>
      <c r="U19" s="8">
        <v>120307</v>
      </c>
      <c r="V19" s="8">
        <v>7533</v>
      </c>
      <c r="W19" s="8">
        <v>44660</v>
      </c>
      <c r="X19" s="8">
        <v>166777</v>
      </c>
      <c r="Y19" s="8">
        <v>85761</v>
      </c>
      <c r="Z19" s="8">
        <v>28001</v>
      </c>
      <c r="AA19" s="8">
        <v>108884</v>
      </c>
      <c r="AB19" s="8">
        <v>114513</v>
      </c>
      <c r="AC19" s="8">
        <f>SUM(Q19:AB19)</f>
        <v>1075619</v>
      </c>
      <c r="AE19" s="4" t="s">
        <v>9</v>
      </c>
      <c r="AF19" s="8">
        <f>11611+19807</f>
        <v>31418</v>
      </c>
      <c r="AG19" s="8">
        <f>1218+31469+17181</f>
        <v>49868</v>
      </c>
      <c r="AH19" s="8">
        <f>12989+632+11133+29244</f>
        <v>53998</v>
      </c>
      <c r="AI19" s="8">
        <f>51585+32437+100630</f>
        <v>184652</v>
      </c>
      <c r="AJ19" s="8">
        <f>25400+7282+91206+101242</f>
        <v>225130</v>
      </c>
      <c r="AK19" s="8">
        <f>30023+25591</f>
        <v>55614</v>
      </c>
      <c r="AL19" s="8">
        <f>38149+51238+31813</f>
        <v>121200</v>
      </c>
      <c r="AM19" s="8">
        <f>17061+21328</f>
        <v>38389</v>
      </c>
      <c r="AN19" s="8">
        <f>17262+1257+13651+36720</f>
        <v>68890</v>
      </c>
      <c r="AO19" s="8">
        <f>24159+32068+38505+71652+8660</f>
        <v>175044</v>
      </c>
      <c r="AP19" s="8">
        <f>39350+6929+39648+45829+40141</f>
        <v>171897</v>
      </c>
      <c r="AQ19" s="8">
        <f>82453+6119+52233+40845</f>
        <v>181650</v>
      </c>
      <c r="AR19" s="7">
        <f>SUM(AF19:AQ19)</f>
        <v>1357750</v>
      </c>
    </row>
    <row r="20" spans="1:44" ht="12.75">
      <c r="A20" s="4" t="s">
        <v>63</v>
      </c>
      <c r="B20" s="8"/>
      <c r="C20" s="8"/>
      <c r="D20" s="8"/>
      <c r="E20" s="8"/>
      <c r="F20" s="8"/>
      <c r="G20" s="8">
        <v>224</v>
      </c>
      <c r="H20" s="8">
        <v>2299</v>
      </c>
      <c r="I20" s="8"/>
      <c r="J20" s="8">
        <v>9485</v>
      </c>
      <c r="K20" s="8"/>
      <c r="L20" s="8">
        <v>6539</v>
      </c>
      <c r="M20" s="8"/>
      <c r="N20" s="8">
        <f aca="true" t="shared" si="6" ref="N20:N27">SUM(B20:M20)</f>
        <v>18547</v>
      </c>
      <c r="P20" s="4" t="s">
        <v>98</v>
      </c>
      <c r="Q20" s="8">
        <v>1368004</v>
      </c>
      <c r="R20" s="8">
        <v>909118</v>
      </c>
      <c r="S20" s="8">
        <v>871278</v>
      </c>
      <c r="T20" s="8">
        <v>979934</v>
      </c>
      <c r="U20" s="8">
        <v>988782</v>
      </c>
      <c r="V20" s="8">
        <v>922544</v>
      </c>
      <c r="W20" s="8">
        <f>1239854+37658</f>
        <v>1277512</v>
      </c>
      <c r="X20" s="8">
        <f>1428842+16788</f>
        <v>1445630</v>
      </c>
      <c r="Y20" s="8">
        <v>1556701</v>
      </c>
      <c r="Z20" s="8">
        <v>1831998</v>
      </c>
      <c r="AA20" s="8">
        <v>2127462</v>
      </c>
      <c r="AB20" s="8">
        <v>1848566</v>
      </c>
      <c r="AC20" s="8">
        <f aca="true" t="shared" si="7" ref="AC20:AC26">SUM(Q20:AB20)</f>
        <v>16127529</v>
      </c>
      <c r="AE20" s="4" t="s">
        <v>55</v>
      </c>
      <c r="AF20" s="8">
        <v>97771</v>
      </c>
      <c r="AG20" s="8">
        <v>42383</v>
      </c>
      <c r="AH20" s="8">
        <v>41605</v>
      </c>
      <c r="AI20" s="8">
        <v>59881</v>
      </c>
      <c r="AJ20" s="8">
        <v>61670</v>
      </c>
      <c r="AK20" s="8">
        <v>33391</v>
      </c>
      <c r="AL20" s="8">
        <v>34532</v>
      </c>
      <c r="AM20" s="8">
        <v>26636</v>
      </c>
      <c r="AN20" s="8">
        <v>42486</v>
      </c>
      <c r="AO20" s="8">
        <v>75892</v>
      </c>
      <c r="AP20" s="8"/>
      <c r="AQ20" s="8">
        <v>54891</v>
      </c>
      <c r="AR20" s="8">
        <f aca="true" t="shared" si="8" ref="AR20:AR28">SUM(AF20:AQ20)</f>
        <v>571138</v>
      </c>
    </row>
    <row r="21" spans="1:44" ht="12.75">
      <c r="A21" s="4" t="s">
        <v>12</v>
      </c>
      <c r="B21" s="8">
        <v>394055</v>
      </c>
      <c r="C21" s="8">
        <v>204324</v>
      </c>
      <c r="D21" s="8">
        <v>221991</v>
      </c>
      <c r="E21" s="8">
        <v>346940</v>
      </c>
      <c r="F21" s="8">
        <v>277976</v>
      </c>
      <c r="G21" s="8">
        <v>275322</v>
      </c>
      <c r="H21" s="8">
        <v>368802</v>
      </c>
      <c r="I21" s="8">
        <v>265847</v>
      </c>
      <c r="J21" s="8">
        <v>504033</v>
      </c>
      <c r="K21" s="8">
        <v>888175</v>
      </c>
      <c r="L21" s="8">
        <v>694162</v>
      </c>
      <c r="M21" s="8">
        <v>556244</v>
      </c>
      <c r="N21" s="8">
        <f t="shared" si="6"/>
        <v>4997871</v>
      </c>
      <c r="P21" s="4" t="s">
        <v>12</v>
      </c>
      <c r="Q21" s="8">
        <v>1808379</v>
      </c>
      <c r="R21" s="8">
        <v>2096396</v>
      </c>
      <c r="S21" s="8">
        <v>2475589</v>
      </c>
      <c r="T21" s="8">
        <v>2836277</v>
      </c>
      <c r="U21" s="8">
        <v>1098861</v>
      </c>
      <c r="V21" s="8">
        <v>694902</v>
      </c>
      <c r="W21" s="8">
        <v>693190</v>
      </c>
      <c r="X21" s="8">
        <v>784180</v>
      </c>
      <c r="Y21" s="8">
        <f>14220+2956284</f>
        <v>2970504</v>
      </c>
      <c r="Z21" s="8">
        <v>4780348</v>
      </c>
      <c r="AA21" s="8">
        <v>5168319</v>
      </c>
      <c r="AB21" s="8">
        <v>3591421</v>
      </c>
      <c r="AC21" s="8">
        <f t="shared" si="7"/>
        <v>28998366</v>
      </c>
      <c r="AE21" s="4" t="s">
        <v>67</v>
      </c>
      <c r="AF21" s="8"/>
      <c r="AG21" s="8">
        <f>21923+60460</f>
        <v>82383</v>
      </c>
      <c r="AH21" s="8">
        <v>46820</v>
      </c>
      <c r="AI21" s="8">
        <v>17077</v>
      </c>
      <c r="AJ21" s="8">
        <v>83105</v>
      </c>
      <c r="AK21" s="8">
        <v>152481</v>
      </c>
      <c r="AL21" s="8">
        <v>155325</v>
      </c>
      <c r="AM21" s="8">
        <v>63476</v>
      </c>
      <c r="AN21" s="8"/>
      <c r="AO21" s="8"/>
      <c r="AP21" s="8"/>
      <c r="AQ21" s="8">
        <v>32646</v>
      </c>
      <c r="AR21" s="8">
        <f t="shared" si="8"/>
        <v>633313</v>
      </c>
    </row>
    <row r="22" spans="1:44" ht="12.75">
      <c r="A22" s="4" t="s">
        <v>11</v>
      </c>
      <c r="B22" s="8"/>
      <c r="C22" s="8"/>
      <c r="D22" s="8"/>
      <c r="E22" s="8"/>
      <c r="F22" s="8"/>
      <c r="G22" s="8">
        <v>20622</v>
      </c>
      <c r="H22" s="8"/>
      <c r="I22" s="8">
        <v>24762</v>
      </c>
      <c r="J22" s="8"/>
      <c r="K22" s="8"/>
      <c r="L22" s="8"/>
      <c r="M22" s="8"/>
      <c r="N22" s="8">
        <f t="shared" si="6"/>
        <v>45384</v>
      </c>
      <c r="P22" s="4" t="s">
        <v>14</v>
      </c>
      <c r="Q22" s="8">
        <v>2895911</v>
      </c>
      <c r="R22" s="8">
        <v>1811599</v>
      </c>
      <c r="S22" s="8">
        <v>2638210</v>
      </c>
      <c r="T22" s="8">
        <v>3604762</v>
      </c>
      <c r="U22" s="8">
        <v>3151988</v>
      </c>
      <c r="V22" s="8">
        <v>3276268</v>
      </c>
      <c r="W22" s="8">
        <v>2231605</v>
      </c>
      <c r="X22" s="8">
        <v>3496276</v>
      </c>
      <c r="Y22" s="8">
        <v>5086903</v>
      </c>
      <c r="Z22" s="8"/>
      <c r="AA22" s="8"/>
      <c r="AB22" s="8"/>
      <c r="AC22" s="8">
        <f t="shared" si="7"/>
        <v>28193522</v>
      </c>
      <c r="AE22" s="4" t="s">
        <v>14</v>
      </c>
      <c r="AF22" s="8">
        <v>7585687</v>
      </c>
      <c r="AG22" s="8">
        <v>4764438</v>
      </c>
      <c r="AH22" s="8">
        <v>6886611</v>
      </c>
      <c r="AI22" s="8">
        <v>6940239</v>
      </c>
      <c r="AJ22" s="8">
        <v>8182931</v>
      </c>
      <c r="AK22" s="8">
        <v>8024364</v>
      </c>
      <c r="AL22" s="8">
        <v>10001204</v>
      </c>
      <c r="AM22" s="8">
        <v>8145596</v>
      </c>
      <c r="AN22" s="8">
        <v>8048564</v>
      </c>
      <c r="AO22" s="8">
        <v>9775458</v>
      </c>
      <c r="AP22" s="8">
        <v>6212731</v>
      </c>
      <c r="AQ22" s="8">
        <v>7001630</v>
      </c>
      <c r="AR22" s="8">
        <f t="shared" si="8"/>
        <v>91569453</v>
      </c>
    </row>
    <row r="23" spans="1:44" ht="12.75">
      <c r="A23" s="4" t="s">
        <v>14</v>
      </c>
      <c r="B23" s="8">
        <v>128</v>
      </c>
      <c r="C23" s="8">
        <v>50746</v>
      </c>
      <c r="D23" s="8"/>
      <c r="E23" s="8">
        <v>64893</v>
      </c>
      <c r="F23" s="8"/>
      <c r="G23" s="8">
        <v>65778</v>
      </c>
      <c r="H23" s="8">
        <v>33</v>
      </c>
      <c r="I23" s="8">
        <v>68035</v>
      </c>
      <c r="J23" s="8">
        <v>31628</v>
      </c>
      <c r="K23" s="8">
        <v>162978</v>
      </c>
      <c r="L23" s="8"/>
      <c r="M23" s="8">
        <v>13842</v>
      </c>
      <c r="N23" s="8">
        <f t="shared" si="6"/>
        <v>458061</v>
      </c>
      <c r="P23" s="4" t="s">
        <v>16</v>
      </c>
      <c r="Q23" s="8">
        <v>23711</v>
      </c>
      <c r="R23" s="8">
        <v>22469</v>
      </c>
      <c r="S23" s="8"/>
      <c r="T23" s="8"/>
      <c r="U23" s="8"/>
      <c r="V23" s="8"/>
      <c r="W23" s="8"/>
      <c r="X23" s="8"/>
      <c r="Y23" s="8">
        <v>59734</v>
      </c>
      <c r="Z23" s="8">
        <v>17731</v>
      </c>
      <c r="AA23" s="8">
        <v>64120</v>
      </c>
      <c r="AB23" s="8">
        <v>36485</v>
      </c>
      <c r="AC23" s="8">
        <f t="shared" si="7"/>
        <v>224250</v>
      </c>
      <c r="AE23" s="4" t="s">
        <v>16</v>
      </c>
      <c r="AF23" s="8">
        <v>452776</v>
      </c>
      <c r="AG23" s="8">
        <v>230517</v>
      </c>
      <c r="AH23" s="8">
        <v>589956</v>
      </c>
      <c r="AI23" s="8">
        <v>533802</v>
      </c>
      <c r="AJ23" s="8">
        <v>532532</v>
      </c>
      <c r="AK23" s="8">
        <v>619537</v>
      </c>
      <c r="AL23" s="8">
        <v>455066</v>
      </c>
      <c r="AM23" s="8">
        <v>422616</v>
      </c>
      <c r="AN23" s="8">
        <v>1001674</v>
      </c>
      <c r="AO23" s="8">
        <v>1001349</v>
      </c>
      <c r="AP23" s="8">
        <v>783454</v>
      </c>
      <c r="AQ23" s="8">
        <v>492694</v>
      </c>
      <c r="AR23" s="8">
        <f t="shared" si="8"/>
        <v>7115973</v>
      </c>
    </row>
    <row r="24" spans="1:44" ht="12.75">
      <c r="A24" s="4" t="s">
        <v>17</v>
      </c>
      <c r="B24" s="8">
        <v>151719</v>
      </c>
      <c r="C24" s="8">
        <v>7667</v>
      </c>
      <c r="D24" s="8">
        <v>62009</v>
      </c>
      <c r="E24" s="8">
        <v>73091</v>
      </c>
      <c r="F24" s="8">
        <v>39546</v>
      </c>
      <c r="G24" s="8">
        <v>70054</v>
      </c>
      <c r="H24" s="8">
        <v>127849</v>
      </c>
      <c r="I24" s="8">
        <v>207969</v>
      </c>
      <c r="J24" s="8">
        <v>70592</v>
      </c>
      <c r="K24" s="8">
        <v>163191</v>
      </c>
      <c r="L24" s="8">
        <v>66433</v>
      </c>
      <c r="M24" s="8">
        <v>129057</v>
      </c>
      <c r="N24" s="8">
        <f t="shared" si="6"/>
        <v>1169177</v>
      </c>
      <c r="P24" s="4" t="s">
        <v>17</v>
      </c>
      <c r="Q24" s="8">
        <v>779630</v>
      </c>
      <c r="R24" s="8">
        <v>333591</v>
      </c>
      <c r="S24" s="8">
        <v>511129</v>
      </c>
      <c r="T24" s="8">
        <v>776619</v>
      </c>
      <c r="U24" s="8">
        <v>650958</v>
      </c>
      <c r="V24" s="8">
        <v>224846</v>
      </c>
      <c r="W24" s="8">
        <v>365047</v>
      </c>
      <c r="X24" s="8">
        <v>588237</v>
      </c>
      <c r="Y24" s="8">
        <v>816721</v>
      </c>
      <c r="Z24" s="8">
        <v>743710</v>
      </c>
      <c r="AA24" s="8">
        <v>935388</v>
      </c>
      <c r="AB24" s="8">
        <v>662749</v>
      </c>
      <c r="AC24" s="8">
        <f t="shared" si="7"/>
        <v>7388625</v>
      </c>
      <c r="AE24" s="4" t="s">
        <v>17</v>
      </c>
      <c r="AF24" s="8">
        <v>2039539</v>
      </c>
      <c r="AG24" s="8">
        <v>1530055</v>
      </c>
      <c r="AH24" s="8">
        <v>2287060</v>
      </c>
      <c r="AI24" s="8">
        <v>3397576</v>
      </c>
      <c r="AJ24" s="8">
        <v>2292345</v>
      </c>
      <c r="AK24" s="8">
        <v>2172485</v>
      </c>
      <c r="AL24" s="8">
        <v>1958833</v>
      </c>
      <c r="AM24" s="8">
        <v>1557506</v>
      </c>
      <c r="AN24" s="8">
        <v>2519609</v>
      </c>
      <c r="AO24" s="8">
        <v>2814678</v>
      </c>
      <c r="AP24" s="8">
        <v>1865016</v>
      </c>
      <c r="AQ24" s="8">
        <v>2054544</v>
      </c>
      <c r="AR24" s="8">
        <f t="shared" si="8"/>
        <v>26489246</v>
      </c>
    </row>
    <row r="25" spans="1:44" ht="12.75">
      <c r="A25" s="4" t="s">
        <v>18</v>
      </c>
      <c r="B25" s="8">
        <v>1466795</v>
      </c>
      <c r="C25" s="8">
        <v>1132591</v>
      </c>
      <c r="D25" s="8">
        <v>1471000</v>
      </c>
      <c r="E25" s="8">
        <v>1394495</v>
      </c>
      <c r="F25" s="8">
        <v>1503316</v>
      </c>
      <c r="G25" s="8">
        <v>1627741</v>
      </c>
      <c r="H25" s="8">
        <v>1429742</v>
      </c>
      <c r="I25" s="8">
        <v>1195001</v>
      </c>
      <c r="J25" s="8">
        <v>1274368</v>
      </c>
      <c r="K25" s="8">
        <v>1847100</v>
      </c>
      <c r="L25" s="8">
        <v>1473586</v>
      </c>
      <c r="M25" s="8">
        <v>1815973</v>
      </c>
      <c r="N25" s="8">
        <f t="shared" si="6"/>
        <v>17631708</v>
      </c>
      <c r="P25" s="4" t="s">
        <v>18</v>
      </c>
      <c r="Q25" s="8">
        <v>392214</v>
      </c>
      <c r="R25" s="8">
        <v>123328</v>
      </c>
      <c r="S25" s="8">
        <v>162208</v>
      </c>
      <c r="T25" s="8">
        <v>113205</v>
      </c>
      <c r="U25" s="8">
        <v>147538</v>
      </c>
      <c r="V25" s="8">
        <v>164101</v>
      </c>
      <c r="W25" s="8">
        <v>281474</v>
      </c>
      <c r="X25" s="8">
        <v>168844</v>
      </c>
      <c r="Y25" s="8">
        <v>246697</v>
      </c>
      <c r="Z25" s="8">
        <v>290179</v>
      </c>
      <c r="AA25" s="8">
        <v>267041</v>
      </c>
      <c r="AB25" s="8">
        <v>205520</v>
      </c>
      <c r="AC25" s="8">
        <f t="shared" si="7"/>
        <v>2562349</v>
      </c>
      <c r="AE25" s="4" t="s">
        <v>18</v>
      </c>
      <c r="AF25" s="8">
        <v>375220</v>
      </c>
      <c r="AG25" s="8">
        <v>96063</v>
      </c>
      <c r="AH25" s="8">
        <v>489008</v>
      </c>
      <c r="AI25" s="8">
        <v>840516</v>
      </c>
      <c r="AJ25" s="8">
        <v>662702</v>
      </c>
      <c r="AK25" s="8">
        <v>1126470</v>
      </c>
      <c r="AL25" s="8">
        <v>1373757</v>
      </c>
      <c r="AM25" s="8">
        <v>1301165</v>
      </c>
      <c r="AN25" s="8">
        <v>1225176</v>
      </c>
      <c r="AO25" s="8">
        <v>1209612</v>
      </c>
      <c r="AP25" s="8">
        <v>1023950</v>
      </c>
      <c r="AQ25" s="8"/>
      <c r="AR25" s="8">
        <f t="shared" si="8"/>
        <v>9723639</v>
      </c>
    </row>
    <row r="26" spans="1:44" ht="12.75">
      <c r="A26" s="4" t="s">
        <v>19</v>
      </c>
      <c r="B26" s="8">
        <v>486027</v>
      </c>
      <c r="C26" s="8">
        <v>490724</v>
      </c>
      <c r="D26" s="8">
        <v>603953</v>
      </c>
      <c r="E26" s="8">
        <v>401592</v>
      </c>
      <c r="F26" s="8">
        <v>570987</v>
      </c>
      <c r="G26" s="8">
        <v>579637</v>
      </c>
      <c r="H26" s="8">
        <v>250477</v>
      </c>
      <c r="I26" s="8">
        <v>275665</v>
      </c>
      <c r="J26" s="8">
        <v>290023</v>
      </c>
      <c r="K26" s="8">
        <v>492017</v>
      </c>
      <c r="L26" s="8">
        <v>509832</v>
      </c>
      <c r="M26" s="8">
        <v>563053</v>
      </c>
      <c r="N26" s="8">
        <f t="shared" si="6"/>
        <v>5513987</v>
      </c>
      <c r="P26" s="4" t="s">
        <v>19</v>
      </c>
      <c r="Q26" s="8">
        <v>405693</v>
      </c>
      <c r="R26" s="8">
        <v>546451</v>
      </c>
      <c r="S26" s="8">
        <v>655894</v>
      </c>
      <c r="T26" s="8">
        <v>711852</v>
      </c>
      <c r="U26" s="8">
        <v>490595</v>
      </c>
      <c r="V26" s="8">
        <v>410684</v>
      </c>
      <c r="W26" s="8">
        <v>770163</v>
      </c>
      <c r="X26" s="8">
        <v>747562</v>
      </c>
      <c r="Y26" s="8">
        <v>524356</v>
      </c>
      <c r="Z26" s="8">
        <v>234377</v>
      </c>
      <c r="AA26" s="8">
        <v>248385</v>
      </c>
      <c r="AB26" s="8">
        <v>1367527</v>
      </c>
      <c r="AC26" s="8">
        <f t="shared" si="7"/>
        <v>7113539</v>
      </c>
      <c r="AE26" s="4" t="s">
        <v>19</v>
      </c>
      <c r="AF26" s="8">
        <v>68968</v>
      </c>
      <c r="AG26" s="8">
        <v>87903</v>
      </c>
      <c r="AH26" s="8">
        <v>36708</v>
      </c>
      <c r="AI26" s="8">
        <v>156341</v>
      </c>
      <c r="AJ26" s="8">
        <v>153529</v>
      </c>
      <c r="AK26" s="8">
        <v>225366</v>
      </c>
      <c r="AL26" s="8">
        <v>284851</v>
      </c>
      <c r="AM26" s="8">
        <v>308822</v>
      </c>
      <c r="AN26" s="8">
        <v>118939</v>
      </c>
      <c r="AO26" s="8"/>
      <c r="AP26" s="8"/>
      <c r="AQ26" s="8"/>
      <c r="AR26" s="8">
        <f t="shared" si="8"/>
        <v>1441427</v>
      </c>
    </row>
    <row r="27" spans="1:44" ht="12.75">
      <c r="A27" s="1" t="s">
        <v>20</v>
      </c>
      <c r="B27" s="10">
        <f aca="true" t="shared" si="9" ref="B27:M27">SUM(B19:B26)</f>
        <v>2507891</v>
      </c>
      <c r="C27" s="10">
        <f t="shared" si="9"/>
        <v>1892937</v>
      </c>
      <c r="D27" s="10">
        <f t="shared" si="9"/>
        <v>2372059</v>
      </c>
      <c r="E27" s="10">
        <f t="shared" si="9"/>
        <v>2291630</v>
      </c>
      <c r="F27" s="10">
        <f t="shared" si="9"/>
        <v>2500256</v>
      </c>
      <c r="G27" s="10">
        <f t="shared" si="9"/>
        <v>2653078</v>
      </c>
      <c r="H27" s="10">
        <f t="shared" si="9"/>
        <v>2291440</v>
      </c>
      <c r="I27" s="10">
        <f t="shared" si="9"/>
        <v>2056372</v>
      </c>
      <c r="J27" s="10">
        <f t="shared" si="9"/>
        <v>2203021</v>
      </c>
      <c r="K27" s="10">
        <f t="shared" si="9"/>
        <v>3573921</v>
      </c>
      <c r="L27" s="10">
        <f t="shared" si="9"/>
        <v>2776733</v>
      </c>
      <c r="M27" s="10">
        <f t="shared" si="9"/>
        <v>3121223</v>
      </c>
      <c r="N27" s="10">
        <f t="shared" si="6"/>
        <v>30240561</v>
      </c>
      <c r="P27" s="1" t="s">
        <v>20</v>
      </c>
      <c r="Q27" s="10">
        <f aca="true" t="shared" si="10" ref="Q27:AB27">SUM(Q19:Q26)</f>
        <v>7822749</v>
      </c>
      <c r="R27" s="10">
        <f t="shared" si="10"/>
        <v>5879054</v>
      </c>
      <c r="S27" s="10">
        <f t="shared" si="10"/>
        <v>7515105</v>
      </c>
      <c r="T27" s="10">
        <f t="shared" si="10"/>
        <v>9035726</v>
      </c>
      <c r="U27" s="10">
        <f t="shared" si="10"/>
        <v>6649029</v>
      </c>
      <c r="V27" s="10">
        <f t="shared" si="10"/>
        <v>5700878</v>
      </c>
      <c r="W27" s="10">
        <f t="shared" si="10"/>
        <v>5663651</v>
      </c>
      <c r="X27" s="10">
        <f t="shared" si="10"/>
        <v>7397506</v>
      </c>
      <c r="Y27" s="10">
        <f t="shared" si="10"/>
        <v>11347377</v>
      </c>
      <c r="Z27" s="10">
        <f t="shared" si="10"/>
        <v>7926344</v>
      </c>
      <c r="AA27" s="10">
        <f t="shared" si="10"/>
        <v>8919599</v>
      </c>
      <c r="AB27" s="10">
        <f t="shared" si="10"/>
        <v>7826781</v>
      </c>
      <c r="AC27" s="10">
        <f>SUM(Q27:AB27)</f>
        <v>91683799</v>
      </c>
      <c r="AE27" s="4" t="s">
        <v>49</v>
      </c>
      <c r="AF27" s="8"/>
      <c r="AG27" s="8">
        <v>92282</v>
      </c>
      <c r="AH27" s="8">
        <f>47072+51285</f>
        <v>98357</v>
      </c>
      <c r="AI27" s="8">
        <v>36801</v>
      </c>
      <c r="AJ27" s="8">
        <v>46260</v>
      </c>
      <c r="AK27" s="8">
        <f>85060+12599</f>
        <v>97659</v>
      </c>
      <c r="AL27" s="8">
        <f>122505+46255</f>
        <v>168760</v>
      </c>
      <c r="AM27" s="8">
        <f>78028+48979</f>
        <v>127007</v>
      </c>
      <c r="AN27" s="8">
        <f>91579+120286</f>
        <v>211865</v>
      </c>
      <c r="AO27" s="8"/>
      <c r="AP27" s="8"/>
      <c r="AQ27" s="8"/>
      <c r="AR27" s="9">
        <f t="shared" si="8"/>
        <v>878991</v>
      </c>
    </row>
    <row r="28" spans="1:44" ht="12.75">
      <c r="A28" s="5" t="s">
        <v>24</v>
      </c>
      <c r="P28" s="5" t="s">
        <v>24</v>
      </c>
      <c r="AE28" s="1" t="s">
        <v>20</v>
      </c>
      <c r="AF28" s="10">
        <f aca="true" t="shared" si="11" ref="AF28:AQ28">SUM(AF19:AF27)</f>
        <v>10651379</v>
      </c>
      <c r="AG28" s="10">
        <f t="shared" si="11"/>
        <v>6975892</v>
      </c>
      <c r="AH28" s="10">
        <f t="shared" si="11"/>
        <v>10530123</v>
      </c>
      <c r="AI28" s="10">
        <f t="shared" si="11"/>
        <v>12166885</v>
      </c>
      <c r="AJ28" s="10">
        <f t="shared" si="11"/>
        <v>12240204</v>
      </c>
      <c r="AK28" s="10">
        <f t="shared" si="11"/>
        <v>12507367</v>
      </c>
      <c r="AL28" s="10">
        <f t="shared" si="11"/>
        <v>14553528</v>
      </c>
      <c r="AM28" s="10">
        <f t="shared" si="11"/>
        <v>11991213</v>
      </c>
      <c r="AN28" s="10">
        <f t="shared" si="11"/>
        <v>13237203</v>
      </c>
      <c r="AO28" s="10">
        <f t="shared" si="11"/>
        <v>15052033</v>
      </c>
      <c r="AP28" s="10">
        <f t="shared" si="11"/>
        <v>10057048</v>
      </c>
      <c r="AQ28" s="10">
        <f t="shared" si="11"/>
        <v>9818055</v>
      </c>
      <c r="AR28" s="10">
        <f t="shared" si="8"/>
        <v>139780930</v>
      </c>
    </row>
    <row r="29" ht="12.75">
      <c r="AE29" s="5" t="s">
        <v>24</v>
      </c>
    </row>
    <row r="31" spans="1:31" ht="12.75">
      <c r="A31" t="s">
        <v>64</v>
      </c>
      <c r="P31" t="s">
        <v>65</v>
      </c>
      <c r="AE31" t="s">
        <v>66</v>
      </c>
    </row>
    <row r="32" spans="1:31" ht="12.75">
      <c r="A32" t="s">
        <v>32</v>
      </c>
      <c r="P32" t="s">
        <v>32</v>
      </c>
      <c r="AE32" t="s">
        <v>32</v>
      </c>
    </row>
    <row r="33" spans="1:44" ht="12.75">
      <c r="A33" s="1" t="s">
        <v>21</v>
      </c>
      <c r="B33" s="2" t="s">
        <v>0</v>
      </c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28</v>
      </c>
      <c r="L33" s="2" t="s">
        <v>29</v>
      </c>
      <c r="M33" s="2" t="s">
        <v>30</v>
      </c>
      <c r="N33" s="6" t="s">
        <v>25</v>
      </c>
      <c r="P33" s="1" t="s">
        <v>21</v>
      </c>
      <c r="Q33" s="2" t="s">
        <v>0</v>
      </c>
      <c r="R33" s="2" t="s">
        <v>1</v>
      </c>
      <c r="S33" s="2" t="s">
        <v>2</v>
      </c>
      <c r="T33" s="2" t="s">
        <v>3</v>
      </c>
      <c r="U33" s="2" t="s">
        <v>4</v>
      </c>
      <c r="V33" s="2" t="s">
        <v>5</v>
      </c>
      <c r="W33" s="2" t="s">
        <v>6</v>
      </c>
      <c r="X33" s="2" t="s">
        <v>7</v>
      </c>
      <c r="Y33" s="2" t="s">
        <v>8</v>
      </c>
      <c r="Z33" s="2" t="s">
        <v>28</v>
      </c>
      <c r="AA33" s="2" t="s">
        <v>29</v>
      </c>
      <c r="AB33" s="2" t="s">
        <v>30</v>
      </c>
      <c r="AC33" s="6" t="s">
        <v>25</v>
      </c>
      <c r="AE33" s="1" t="s">
        <v>21</v>
      </c>
      <c r="AF33" s="2" t="s">
        <v>0</v>
      </c>
      <c r="AG33" s="2" t="s">
        <v>1</v>
      </c>
      <c r="AH33" s="2" t="s">
        <v>2</v>
      </c>
      <c r="AI33" s="2" t="s">
        <v>3</v>
      </c>
      <c r="AJ33" s="2" t="s">
        <v>4</v>
      </c>
      <c r="AK33" s="2" t="s">
        <v>5</v>
      </c>
      <c r="AL33" s="2" t="s">
        <v>6</v>
      </c>
      <c r="AM33" s="2" t="s">
        <v>7</v>
      </c>
      <c r="AN33" s="2" t="s">
        <v>8</v>
      </c>
      <c r="AO33" s="2" t="s">
        <v>28</v>
      </c>
      <c r="AP33" s="2" t="s">
        <v>29</v>
      </c>
      <c r="AQ33" s="2" t="s">
        <v>30</v>
      </c>
      <c r="AR33" s="6" t="s">
        <v>25</v>
      </c>
    </row>
    <row r="34" spans="1:44" ht="12.75">
      <c r="A34" s="4" t="s">
        <v>9</v>
      </c>
      <c r="B34" s="15"/>
      <c r="C34" s="15"/>
      <c r="D34" s="15">
        <f aca="true" t="shared" si="12" ref="D34:N34">D19/D4</f>
        <v>13106</v>
      </c>
      <c r="E34" s="15"/>
      <c r="F34" s="15">
        <f t="shared" si="12"/>
        <v>9035.916666666666</v>
      </c>
      <c r="G34" s="15">
        <f t="shared" si="12"/>
        <v>13700</v>
      </c>
      <c r="H34" s="15">
        <f t="shared" si="12"/>
        <v>8633.692307692309</v>
      </c>
      <c r="I34" s="15">
        <f t="shared" si="12"/>
        <v>19093</v>
      </c>
      <c r="J34" s="15">
        <f t="shared" si="12"/>
        <v>22892</v>
      </c>
      <c r="K34" s="15">
        <f t="shared" si="12"/>
        <v>20460</v>
      </c>
      <c r="L34" s="15">
        <f t="shared" si="12"/>
        <v>26181</v>
      </c>
      <c r="M34" s="15">
        <f t="shared" si="12"/>
        <v>21527</v>
      </c>
      <c r="N34" s="15">
        <f t="shared" si="12"/>
        <v>12297.757575757576</v>
      </c>
      <c r="P34" s="4" t="s">
        <v>9</v>
      </c>
      <c r="Q34" s="15"/>
      <c r="R34" s="15"/>
      <c r="S34" s="15"/>
      <c r="T34" s="15">
        <f>T19/T4</f>
        <v>13077</v>
      </c>
      <c r="U34" s="15"/>
      <c r="V34" s="15"/>
      <c r="W34" s="15"/>
      <c r="X34" s="15"/>
      <c r="Y34" s="15"/>
      <c r="Z34" s="15">
        <f>Z19/Z4</f>
        <v>2800.1</v>
      </c>
      <c r="AA34" s="15">
        <f>AA19/AA4</f>
        <v>18147.333333333332</v>
      </c>
      <c r="AB34" s="15">
        <f>AB19/AB4</f>
        <v>8808.692307692309</v>
      </c>
      <c r="AC34" s="15"/>
      <c r="AE34" s="4" t="s">
        <v>9</v>
      </c>
      <c r="AF34" s="15">
        <f>AF19/AF4</f>
        <v>1256.72</v>
      </c>
      <c r="AG34" s="15">
        <f aca="true" t="shared" si="13" ref="AG34:AQ35">AG19/AG4</f>
        <v>683.1232876712329</v>
      </c>
      <c r="AH34" s="15">
        <f t="shared" si="13"/>
        <v>562.4791666666666</v>
      </c>
      <c r="AI34" s="15">
        <f t="shared" si="13"/>
        <v>1049.159090909091</v>
      </c>
      <c r="AJ34" s="15">
        <f t="shared" si="13"/>
        <v>996.1504424778761</v>
      </c>
      <c r="AK34" s="15">
        <f t="shared" si="13"/>
        <v>1069.5</v>
      </c>
      <c r="AL34" s="15">
        <f t="shared" si="13"/>
        <v>1377.2727272727273</v>
      </c>
      <c r="AM34" s="15">
        <f t="shared" si="13"/>
        <v>752.7254901960785</v>
      </c>
      <c r="AN34" s="15">
        <f t="shared" si="13"/>
        <v>717.6041666666666</v>
      </c>
      <c r="AO34" s="15">
        <f t="shared" si="13"/>
        <v>956.5245901639345</v>
      </c>
      <c r="AP34" s="15">
        <f t="shared" si="13"/>
        <v>1353.5196850393702</v>
      </c>
      <c r="AQ34" s="15">
        <f t="shared" si="13"/>
        <v>1252.7586206896551</v>
      </c>
      <c r="AR34" s="15">
        <f aca="true" t="shared" si="14" ref="AR34:AR43">AR19/AR4</f>
        <v>1014.7608370702541</v>
      </c>
    </row>
    <row r="35" spans="1:44" ht="12.75">
      <c r="A35" s="4" t="s">
        <v>63</v>
      </c>
      <c r="B35" s="15"/>
      <c r="C35" s="15"/>
      <c r="D35" s="15"/>
      <c r="E35" s="15"/>
      <c r="F35" s="15"/>
      <c r="G35" s="15"/>
      <c r="H35" s="15"/>
      <c r="I35" s="15"/>
      <c r="J35" s="15">
        <f>J20/J5</f>
        <v>22892</v>
      </c>
      <c r="K35" s="15"/>
      <c r="L35" s="15">
        <f>L20/L5</f>
        <v>6539</v>
      </c>
      <c r="M35" s="15"/>
      <c r="N35" s="15">
        <f aca="true" t="shared" si="15" ref="N35:N40">N20/N5</f>
        <v>12297.757575757576</v>
      </c>
      <c r="P35" s="4" t="s">
        <v>55</v>
      </c>
      <c r="Q35" s="15">
        <f aca="true" t="shared" si="16" ref="Q35:AC42">Q20/Q5</f>
        <v>1836.246979865772</v>
      </c>
      <c r="R35" s="15">
        <f t="shared" si="16"/>
        <v>1775.62109375</v>
      </c>
      <c r="S35" s="15">
        <f t="shared" si="16"/>
        <v>1662.7442748091603</v>
      </c>
      <c r="T35" s="15">
        <f t="shared" si="16"/>
        <v>1560.404458598726</v>
      </c>
      <c r="U35" s="15">
        <f t="shared" si="16"/>
        <v>1637.0562913907286</v>
      </c>
      <c r="V35" s="15">
        <f t="shared" si="16"/>
        <v>1767.3256704980843</v>
      </c>
      <c r="W35" s="15">
        <f t="shared" si="16"/>
        <v>1567.4993865030674</v>
      </c>
      <c r="X35" s="15">
        <f t="shared" si="16"/>
        <v>1696.74882629108</v>
      </c>
      <c r="Y35" s="15">
        <f t="shared" si="16"/>
        <v>1762.9682899207248</v>
      </c>
      <c r="Z35" s="15">
        <f t="shared" si="16"/>
        <v>1782.0992217898834</v>
      </c>
      <c r="AA35" s="15">
        <f t="shared" si="16"/>
        <v>1851.5770234986944</v>
      </c>
      <c r="AB35" s="15">
        <f t="shared" si="16"/>
        <v>1798.215953307393</v>
      </c>
      <c r="AC35" s="15">
        <f t="shared" si="16"/>
        <v>1736.0095801937566</v>
      </c>
      <c r="AE35" s="4" t="s">
        <v>55</v>
      </c>
      <c r="AF35" s="15">
        <f>AF20/AF5</f>
        <v>1286.4605263157894</v>
      </c>
      <c r="AG35" s="15">
        <f t="shared" si="13"/>
        <v>1765.9583333333333</v>
      </c>
      <c r="AH35" s="15">
        <f t="shared" si="13"/>
        <v>1485.892857142857</v>
      </c>
      <c r="AI35" s="15">
        <f t="shared" si="13"/>
        <v>1392.5813953488373</v>
      </c>
      <c r="AJ35" s="15">
        <f t="shared" si="13"/>
        <v>1434.1860465116279</v>
      </c>
      <c r="AK35" s="15">
        <f t="shared" si="13"/>
        <v>2226.0666666666666</v>
      </c>
      <c r="AL35" s="15">
        <f t="shared" si="13"/>
        <v>1278.962962962963</v>
      </c>
      <c r="AM35" s="15">
        <f t="shared" si="13"/>
        <v>1158.0869565217392</v>
      </c>
      <c r="AN35" s="15">
        <f>AN20/AN5</f>
        <v>1148.2702702702702</v>
      </c>
      <c r="AO35" s="15">
        <f>AO20/AO5</f>
        <v>1355.2142857142858</v>
      </c>
      <c r="AP35" s="15"/>
      <c r="AQ35" s="15">
        <f>AQ20/AQ5</f>
        <v>1193.2826086956522</v>
      </c>
      <c r="AR35" s="15">
        <f t="shared" si="14"/>
        <v>1366.358851674641</v>
      </c>
    </row>
    <row r="36" spans="1:44" ht="12.75">
      <c r="A36" s="4" t="s">
        <v>12</v>
      </c>
      <c r="B36" s="15">
        <f aca="true" t="shared" si="17" ref="B36:I36">B21/B6</f>
        <v>13588.103448275862</v>
      </c>
      <c r="C36" s="15">
        <f t="shared" si="17"/>
        <v>12770.25</v>
      </c>
      <c r="D36" s="15">
        <f t="shared" si="17"/>
        <v>13058.29411764706</v>
      </c>
      <c r="E36" s="15">
        <f t="shared" si="17"/>
        <v>13343.846153846154</v>
      </c>
      <c r="F36" s="15">
        <f t="shared" si="17"/>
        <v>15443.111111111111</v>
      </c>
      <c r="G36" s="15">
        <f t="shared" si="17"/>
        <v>15295.666666666666</v>
      </c>
      <c r="H36" s="15">
        <f t="shared" si="17"/>
        <v>14752.08</v>
      </c>
      <c r="I36" s="15">
        <f t="shared" si="17"/>
        <v>15638.058823529413</v>
      </c>
      <c r="J36" s="15">
        <f>J21/J6</f>
        <v>15273.727272727272</v>
      </c>
      <c r="K36" s="15">
        <f>K21/K6</f>
        <v>15053.813559322034</v>
      </c>
      <c r="L36" s="15">
        <f>L21/L6</f>
        <v>16143.302325581395</v>
      </c>
      <c r="M36" s="15">
        <f>M21/M6</f>
        <v>19180.827586206895</v>
      </c>
      <c r="N36" s="15">
        <f t="shared" si="15"/>
        <v>15145.063636363637</v>
      </c>
      <c r="P36" s="4" t="s">
        <v>12</v>
      </c>
      <c r="Q36" s="15">
        <f t="shared" si="16"/>
        <v>3983.213656387665</v>
      </c>
      <c r="R36" s="15">
        <f t="shared" si="16"/>
        <v>3459.3993399339934</v>
      </c>
      <c r="S36" s="15">
        <f t="shared" si="16"/>
        <v>2809.9761634506244</v>
      </c>
      <c r="T36" s="15">
        <f t="shared" si="16"/>
        <v>3746.7331571994714</v>
      </c>
      <c r="U36" s="15">
        <f t="shared" si="16"/>
        <v>2986.0353260869565</v>
      </c>
      <c r="V36" s="15">
        <f t="shared" si="16"/>
        <v>3034.5065502183406</v>
      </c>
      <c r="W36" s="15">
        <f t="shared" si="16"/>
        <v>2655.9003831417626</v>
      </c>
      <c r="X36" s="15">
        <f t="shared" si="16"/>
        <v>7764.158415841584</v>
      </c>
      <c r="Y36" s="15">
        <f t="shared" si="16"/>
        <v>3163.4760383386583</v>
      </c>
      <c r="Z36" s="15">
        <f t="shared" si="16"/>
        <v>3066.291212315587</v>
      </c>
      <c r="AA36" s="15">
        <f t="shared" si="16"/>
        <v>5042.26243902439</v>
      </c>
      <c r="AB36" s="15">
        <f t="shared" si="16"/>
        <v>4180.932479627474</v>
      </c>
      <c r="AC36" s="15">
        <f t="shared" si="16"/>
        <v>3607.210598333126</v>
      </c>
      <c r="AE36" s="4" t="s">
        <v>67</v>
      </c>
      <c r="AF36" s="15"/>
      <c r="AG36" s="15">
        <f aca="true" t="shared" si="18" ref="AG36:AQ36">AG21/AG6</f>
        <v>1647.66</v>
      </c>
      <c r="AH36" s="15">
        <f t="shared" si="18"/>
        <v>659.4366197183099</v>
      </c>
      <c r="AI36" s="15">
        <f t="shared" si="18"/>
        <v>1004.5294117647059</v>
      </c>
      <c r="AJ36" s="15">
        <f t="shared" si="18"/>
        <v>933.7640449438202</v>
      </c>
      <c r="AK36" s="15">
        <f t="shared" si="18"/>
        <v>856.6348314606741</v>
      </c>
      <c r="AL36" s="15">
        <f t="shared" si="18"/>
        <v>1652.3936170212767</v>
      </c>
      <c r="AM36" s="15">
        <f t="shared" si="18"/>
        <v>675.2765957446809</v>
      </c>
      <c r="AN36" s="15"/>
      <c r="AO36" s="15"/>
      <c r="AP36" s="15"/>
      <c r="AQ36" s="15">
        <f t="shared" si="18"/>
        <v>1813.6666666666667</v>
      </c>
      <c r="AR36" s="15">
        <f t="shared" si="14"/>
        <v>1036.518821603928</v>
      </c>
    </row>
    <row r="37" spans="1:44" ht="12.75">
      <c r="A37" s="4" t="s">
        <v>11</v>
      </c>
      <c r="B37" s="15"/>
      <c r="C37" s="15"/>
      <c r="D37" s="15"/>
      <c r="E37" s="15"/>
      <c r="F37" s="15"/>
      <c r="G37" s="15">
        <f>G22/G7</f>
        <v>20622</v>
      </c>
      <c r="H37" s="15"/>
      <c r="I37" s="15">
        <f>I22/I7</f>
        <v>12381</v>
      </c>
      <c r="J37" s="15"/>
      <c r="K37" s="15"/>
      <c r="L37" s="15"/>
      <c r="M37" s="15"/>
      <c r="N37" s="15">
        <f t="shared" si="15"/>
        <v>15128</v>
      </c>
      <c r="P37" s="4" t="s">
        <v>14</v>
      </c>
      <c r="Q37" s="15">
        <f t="shared" si="16"/>
        <v>2065.5570613409413</v>
      </c>
      <c r="R37" s="15">
        <f t="shared" si="16"/>
        <v>2087.0956221198157</v>
      </c>
      <c r="S37" s="15">
        <f t="shared" si="16"/>
        <v>2006.2433460076045</v>
      </c>
      <c r="T37" s="15">
        <f t="shared" si="16"/>
        <v>1950.628787878788</v>
      </c>
      <c r="U37" s="15">
        <f t="shared" si="16"/>
        <v>1911.454214675561</v>
      </c>
      <c r="V37" s="15">
        <f t="shared" si="16"/>
        <v>1918.1896955503512</v>
      </c>
      <c r="W37" s="15">
        <f t="shared" si="16"/>
        <v>1827.6863226863227</v>
      </c>
      <c r="X37" s="15">
        <f t="shared" si="16"/>
        <v>2031.537478210343</v>
      </c>
      <c r="Y37" s="15">
        <f t="shared" si="16"/>
        <v>2162.798894557823</v>
      </c>
      <c r="Z37" s="15"/>
      <c r="AA37" s="15"/>
      <c r="AB37" s="15"/>
      <c r="AC37" s="15">
        <f t="shared" si="16"/>
        <v>1378.1172157591163</v>
      </c>
      <c r="AE37" s="4" t="s">
        <v>14</v>
      </c>
      <c r="AF37" s="15">
        <f>AF22/AF7</f>
        <v>1106.7532827545958</v>
      </c>
      <c r="AG37" s="15">
        <f aca="true" t="shared" si="19" ref="AG37:AQ38">AG22/AG7</f>
        <v>1098.3029045643154</v>
      </c>
      <c r="AH37" s="15">
        <f t="shared" si="19"/>
        <v>1136.967310549777</v>
      </c>
      <c r="AI37" s="15">
        <f t="shared" si="19"/>
        <v>1161.5462761506276</v>
      </c>
      <c r="AJ37" s="15">
        <f t="shared" si="19"/>
        <v>1173.6848823866897</v>
      </c>
      <c r="AK37" s="15">
        <f t="shared" si="19"/>
        <v>1203.594420278986</v>
      </c>
      <c r="AL37" s="15">
        <f t="shared" si="19"/>
        <v>1222.0434995112414</v>
      </c>
      <c r="AM37" s="15">
        <f t="shared" si="19"/>
        <v>1164.987986270023</v>
      </c>
      <c r="AN37" s="15">
        <f t="shared" si="19"/>
        <v>1195.3904648744988</v>
      </c>
      <c r="AO37" s="15">
        <f t="shared" si="19"/>
        <v>1221.93225</v>
      </c>
      <c r="AP37" s="15">
        <f t="shared" si="19"/>
        <v>1294.5886643050635</v>
      </c>
      <c r="AQ37" s="15">
        <f t="shared" si="19"/>
        <v>1311.9036912122915</v>
      </c>
      <c r="AR37" s="15">
        <f t="shared" si="14"/>
        <v>1190.6362537057264</v>
      </c>
    </row>
    <row r="38" spans="1:44" ht="12.75">
      <c r="A38" s="4" t="s">
        <v>14</v>
      </c>
      <c r="B38" s="15"/>
      <c r="C38" s="15">
        <f>C23/C8</f>
        <v>7249.428571428572</v>
      </c>
      <c r="D38" s="15"/>
      <c r="E38" s="15">
        <f>E23/E8</f>
        <v>3090.1428571428573</v>
      </c>
      <c r="F38" s="15"/>
      <c r="G38" s="15">
        <f>G23/G8</f>
        <v>2740.75</v>
      </c>
      <c r="H38" s="15">
        <f>H23/H8</f>
        <v>8633.692307692309</v>
      </c>
      <c r="I38" s="15">
        <f>I23/I8</f>
        <v>3092.5</v>
      </c>
      <c r="J38" s="15">
        <f aca="true" t="shared" si="20" ref="J38:K40">J23/J8</f>
        <v>2875.2727272727275</v>
      </c>
      <c r="K38" s="15">
        <f t="shared" si="20"/>
        <v>2263.5833333333335</v>
      </c>
      <c r="L38" s="15"/>
      <c r="M38" s="15">
        <f>M23/M8</f>
        <v>3460.5</v>
      </c>
      <c r="N38" s="15">
        <f t="shared" si="15"/>
        <v>12297.757575757576</v>
      </c>
      <c r="P38" s="4" t="s">
        <v>16</v>
      </c>
      <c r="Q38" s="15"/>
      <c r="R38" s="15"/>
      <c r="S38" s="15"/>
      <c r="T38" s="15"/>
      <c r="U38" s="15"/>
      <c r="V38" s="15"/>
      <c r="W38" s="15"/>
      <c r="X38" s="15"/>
      <c r="Y38" s="15"/>
      <c r="Z38" s="15">
        <f t="shared" si="16"/>
        <v>1182.0666666666666</v>
      </c>
      <c r="AA38" s="15">
        <f t="shared" si="16"/>
        <v>1051.1475409836066</v>
      </c>
      <c r="AB38" s="15">
        <f t="shared" si="16"/>
        <v>1459.4</v>
      </c>
      <c r="AC38" s="15"/>
      <c r="AE38" s="4" t="s">
        <v>16</v>
      </c>
      <c r="AF38" s="15">
        <f>AF23/AF8</f>
        <v>1220.4204851752022</v>
      </c>
      <c r="AG38" s="15">
        <f t="shared" si="19"/>
        <v>1405.591463414634</v>
      </c>
      <c r="AH38" s="15">
        <f t="shared" si="19"/>
        <v>1152.2578125</v>
      </c>
      <c r="AI38" s="15">
        <f t="shared" si="19"/>
        <v>1178.3708609271523</v>
      </c>
      <c r="AJ38" s="15">
        <f t="shared" si="19"/>
        <v>1199.3963963963963</v>
      </c>
      <c r="AK38" s="15">
        <f t="shared" si="19"/>
        <v>1173.3655303030303</v>
      </c>
      <c r="AL38" s="15">
        <f t="shared" si="19"/>
        <v>1149.1565656565656</v>
      </c>
      <c r="AM38" s="15">
        <f t="shared" si="19"/>
        <v>1112.1473684210525</v>
      </c>
      <c r="AN38" s="15">
        <f t="shared" si="19"/>
        <v>1227.5416666666667</v>
      </c>
      <c r="AO38" s="15">
        <f t="shared" si="19"/>
        <v>12675.303797468354</v>
      </c>
      <c r="AP38" s="15">
        <f t="shared" si="19"/>
        <v>1367.284467713787</v>
      </c>
      <c r="AQ38" s="15">
        <f t="shared" si="19"/>
        <v>1395.7337110481587</v>
      </c>
      <c r="AR38" s="15">
        <f t="shared" si="14"/>
        <v>1403.821858354705</v>
      </c>
    </row>
    <row r="39" spans="1:44" ht="12.75">
      <c r="A39" s="4" t="s">
        <v>17</v>
      </c>
      <c r="B39" s="15">
        <f>B24/B9</f>
        <v>7985.210526315789</v>
      </c>
      <c r="C39" s="15">
        <f>C24/C9</f>
        <v>851.8888888888889</v>
      </c>
      <c r="D39" s="15">
        <f>D24/D9</f>
        <v>1215.862745098039</v>
      </c>
      <c r="E39" s="15">
        <f>E24/E9</f>
        <v>6090.916666666667</v>
      </c>
      <c r="F39" s="15">
        <f>F24/F9</f>
        <v>3295.5</v>
      </c>
      <c r="G39" s="15">
        <f>G24/G9</f>
        <v>3687.0526315789475</v>
      </c>
      <c r="H39" s="15">
        <f>H24/H9</f>
        <v>2609.1632653061224</v>
      </c>
      <c r="I39" s="15">
        <f>I24/I9</f>
        <v>9042.130434782608</v>
      </c>
      <c r="J39" s="15">
        <f t="shared" si="20"/>
        <v>1810.051282051282</v>
      </c>
      <c r="K39" s="15">
        <f t="shared" si="20"/>
        <v>5627.275862068966</v>
      </c>
      <c r="L39" s="15">
        <f>L24/L9</f>
        <v>6643.3</v>
      </c>
      <c r="M39" s="15">
        <f>M24/M9</f>
        <v>1698.1184210526317</v>
      </c>
      <c r="N39" s="15">
        <f t="shared" si="15"/>
        <v>3359.7040229885056</v>
      </c>
      <c r="P39" s="4" t="s">
        <v>17</v>
      </c>
      <c r="Q39" s="15">
        <f t="shared" si="16"/>
        <v>1939.3781094527362</v>
      </c>
      <c r="R39" s="15">
        <f t="shared" si="16"/>
        <v>1710.7230769230769</v>
      </c>
      <c r="S39" s="15">
        <f t="shared" si="16"/>
        <v>1907.19776119403</v>
      </c>
      <c r="T39" s="15">
        <f t="shared" si="16"/>
        <v>1372.118374558304</v>
      </c>
      <c r="U39" s="15">
        <f t="shared" si="16"/>
        <v>1643.8333333333333</v>
      </c>
      <c r="V39" s="15">
        <f t="shared" si="16"/>
        <v>1550.6620689655172</v>
      </c>
      <c r="W39" s="15">
        <f t="shared" si="16"/>
        <v>1816.1542288557214</v>
      </c>
      <c r="X39" s="15">
        <f t="shared" si="16"/>
        <v>1228.052192066806</v>
      </c>
      <c r="Y39" s="15">
        <f t="shared" si="16"/>
        <v>2274.988857938719</v>
      </c>
      <c r="Z39" s="15">
        <f t="shared" si="16"/>
        <v>1962.2955145118733</v>
      </c>
      <c r="AA39" s="15">
        <f t="shared" si="16"/>
        <v>2165.25</v>
      </c>
      <c r="AB39" s="15">
        <f t="shared" si="16"/>
        <v>2187.290429042904</v>
      </c>
      <c r="AC39" s="15">
        <f t="shared" si="16"/>
        <v>1791.1818181818182</v>
      </c>
      <c r="AE39" s="4" t="s">
        <v>17</v>
      </c>
      <c r="AF39" s="15">
        <f aca="true" t="shared" si="21" ref="AF39:AQ39">AF24/AF9</f>
        <v>1022.3253132832081</v>
      </c>
      <c r="AG39" s="15">
        <f t="shared" si="21"/>
        <v>956.8824265165729</v>
      </c>
      <c r="AH39" s="15">
        <f t="shared" si="21"/>
        <v>1059.3144974525244</v>
      </c>
      <c r="AI39" s="15">
        <f t="shared" si="21"/>
        <v>1041.2430278884462</v>
      </c>
      <c r="AJ39" s="15">
        <f t="shared" si="21"/>
        <v>1042.9231119199271</v>
      </c>
      <c r="AK39" s="15">
        <f t="shared" si="21"/>
        <v>1123.892912571133</v>
      </c>
      <c r="AL39" s="15">
        <f t="shared" si="21"/>
        <v>1043.5977623867875</v>
      </c>
      <c r="AM39" s="15">
        <f t="shared" si="21"/>
        <v>937.1275571600481</v>
      </c>
      <c r="AN39" s="15">
        <f t="shared" si="21"/>
        <v>907.9672072072073</v>
      </c>
      <c r="AO39" s="15">
        <f t="shared" si="21"/>
        <v>1032.909357798165</v>
      </c>
      <c r="AP39" s="15">
        <f t="shared" si="21"/>
        <v>1028.6905681191395</v>
      </c>
      <c r="AQ39" s="15">
        <f t="shared" si="21"/>
        <v>1017.6047548291233</v>
      </c>
      <c r="AR39" s="15">
        <f t="shared" si="14"/>
        <v>1018.1123068644785</v>
      </c>
    </row>
    <row r="40" spans="1:44" ht="12.75">
      <c r="A40" s="4" t="s">
        <v>18</v>
      </c>
      <c r="B40" s="15">
        <f>B25/B10</f>
        <v>12430.466101694916</v>
      </c>
      <c r="C40" s="15">
        <f>C25/C10</f>
        <v>11557.051020408164</v>
      </c>
      <c r="D40" s="15">
        <f>D25/D10</f>
        <v>12572.649572649572</v>
      </c>
      <c r="E40" s="15">
        <f>E25/E10</f>
        <v>11817.754237288136</v>
      </c>
      <c r="F40" s="15">
        <f>F25/F10</f>
        <v>12222.081300813008</v>
      </c>
      <c r="G40" s="15">
        <f>G25/G10</f>
        <v>10851.606666666667</v>
      </c>
      <c r="H40" s="15">
        <f>H25/H10</f>
        <v>12116.457627118643</v>
      </c>
      <c r="I40" s="15">
        <f>I25/I10</f>
        <v>11380.961904761905</v>
      </c>
      <c r="J40" s="15">
        <f t="shared" si="20"/>
        <v>12617.50495049505</v>
      </c>
      <c r="K40" s="15">
        <f t="shared" si="20"/>
        <v>13100</v>
      </c>
      <c r="L40" s="15">
        <f>L25/L10</f>
        <v>12279.883333333333</v>
      </c>
      <c r="M40" s="15">
        <f>M25/M10</f>
        <v>12971.235714285714</v>
      </c>
      <c r="N40" s="15">
        <f t="shared" si="15"/>
        <v>12168.190476190477</v>
      </c>
      <c r="P40" s="4" t="s">
        <v>18</v>
      </c>
      <c r="Q40" s="15">
        <f t="shared" si="16"/>
        <v>7131.163636363636</v>
      </c>
      <c r="R40" s="15">
        <f t="shared" si="16"/>
        <v>7708</v>
      </c>
      <c r="S40" s="15">
        <f t="shared" si="16"/>
        <v>5069</v>
      </c>
      <c r="T40" s="15">
        <f t="shared" si="16"/>
        <v>11320.5</v>
      </c>
      <c r="U40" s="15">
        <f t="shared" si="16"/>
        <v>9835.866666666667</v>
      </c>
      <c r="V40" s="15">
        <f t="shared" si="16"/>
        <v>2279.1805555555557</v>
      </c>
      <c r="W40" s="15">
        <f t="shared" si="16"/>
        <v>5744.367346938776</v>
      </c>
      <c r="X40" s="15">
        <f t="shared" si="16"/>
        <v>5628.133333333333</v>
      </c>
      <c r="Y40" s="15">
        <f t="shared" si="16"/>
        <v>1868.9166666666667</v>
      </c>
      <c r="Z40" s="15">
        <f t="shared" si="16"/>
        <v>2567.9557522123896</v>
      </c>
      <c r="AA40" s="15">
        <f t="shared" si="16"/>
        <v>3468.064935064935</v>
      </c>
      <c r="AB40" s="15">
        <f t="shared" si="16"/>
        <v>1644.16</v>
      </c>
      <c r="AC40" s="15">
        <f t="shared" si="16"/>
        <v>3529.406336088154</v>
      </c>
      <c r="AE40" s="4" t="s">
        <v>18</v>
      </c>
      <c r="AF40" s="15">
        <f aca="true" t="shared" si="22" ref="AF40:AP41">AF25/AF10</f>
        <v>1254.9163879598661</v>
      </c>
      <c r="AG40" s="15">
        <f t="shared" si="22"/>
        <v>1200.7875</v>
      </c>
      <c r="AH40" s="15">
        <f t="shared" si="22"/>
        <v>1129.3487297921479</v>
      </c>
      <c r="AI40" s="15">
        <f t="shared" si="22"/>
        <v>1319.49136577708</v>
      </c>
      <c r="AJ40" s="15">
        <f t="shared" si="22"/>
        <v>1121.3231810490693</v>
      </c>
      <c r="AK40" s="15">
        <f t="shared" si="22"/>
        <v>1134.4108761329305</v>
      </c>
      <c r="AL40" s="15">
        <f t="shared" si="22"/>
        <v>1097.25</v>
      </c>
      <c r="AM40" s="15">
        <f t="shared" si="22"/>
        <v>1054.42868719611</v>
      </c>
      <c r="AN40" s="15">
        <f t="shared" si="22"/>
        <v>1138.639405204461</v>
      </c>
      <c r="AO40" s="15">
        <f t="shared" si="22"/>
        <v>1075.2106666666666</v>
      </c>
      <c r="AP40" s="15">
        <f t="shared" si="22"/>
        <v>1178.3084004602993</v>
      </c>
      <c r="AQ40" s="15"/>
      <c r="AR40" s="15">
        <f t="shared" si="14"/>
        <v>1018.1820942408377</v>
      </c>
    </row>
    <row r="41" spans="1:44" ht="12.75">
      <c r="A41" s="4" t="s">
        <v>19</v>
      </c>
      <c r="B41" s="15">
        <f aca="true" t="shared" si="23" ref="B41:N41">B26/B11</f>
        <v>8237.745762711864</v>
      </c>
      <c r="C41" s="15">
        <f t="shared" si="23"/>
        <v>7667.5625</v>
      </c>
      <c r="D41" s="15">
        <f t="shared" si="23"/>
        <v>7742.98717948718</v>
      </c>
      <c r="E41" s="15">
        <f t="shared" si="23"/>
        <v>8544.510638297872</v>
      </c>
      <c r="F41" s="15">
        <f t="shared" si="23"/>
        <v>7930.375</v>
      </c>
      <c r="G41" s="15">
        <f t="shared" si="23"/>
        <v>7940.232876712329</v>
      </c>
      <c r="H41" s="15">
        <f t="shared" si="23"/>
        <v>7827.40625</v>
      </c>
      <c r="I41" s="15">
        <f t="shared" si="23"/>
        <v>6723.536585365854</v>
      </c>
      <c r="J41" s="15">
        <f t="shared" si="23"/>
        <v>10357.964285714286</v>
      </c>
      <c r="K41" s="15">
        <f t="shared" si="23"/>
        <v>8786.017857142857</v>
      </c>
      <c r="L41" s="15">
        <f t="shared" si="23"/>
        <v>8092.571428571428</v>
      </c>
      <c r="M41" s="15">
        <f t="shared" si="23"/>
        <v>8043.614285714286</v>
      </c>
      <c r="N41" s="15">
        <f t="shared" si="23"/>
        <v>8073.187408491947</v>
      </c>
      <c r="P41" s="4" t="s">
        <v>19</v>
      </c>
      <c r="Q41" s="15">
        <f t="shared" si="16"/>
        <v>4362.290322580645</v>
      </c>
      <c r="R41" s="15">
        <f t="shared" si="16"/>
        <v>5305.349514563107</v>
      </c>
      <c r="S41" s="15">
        <f t="shared" si="16"/>
        <v>5420.611570247934</v>
      </c>
      <c r="T41" s="15">
        <f t="shared" si="16"/>
        <v>5352.270676691729</v>
      </c>
      <c r="U41" s="15">
        <f t="shared" si="16"/>
        <v>5704.593023255814</v>
      </c>
      <c r="V41" s="15">
        <f t="shared" si="16"/>
        <v>6039.470588235294</v>
      </c>
      <c r="W41" s="15">
        <f t="shared" si="16"/>
        <v>5348.354166666667</v>
      </c>
      <c r="X41" s="15">
        <f t="shared" si="16"/>
        <v>5537.496296296296</v>
      </c>
      <c r="Y41" s="15">
        <f t="shared" si="16"/>
        <v>5638.236559139785</v>
      </c>
      <c r="Z41" s="15">
        <f t="shared" si="16"/>
        <v>6167.815789473684</v>
      </c>
      <c r="AA41" s="15">
        <f t="shared" si="16"/>
        <v>5645.113636363636</v>
      </c>
      <c r="AB41" s="15">
        <f t="shared" si="16"/>
        <v>5819.263829787234</v>
      </c>
      <c r="AC41" s="15">
        <f t="shared" si="16"/>
        <v>5501.576952822892</v>
      </c>
      <c r="AE41" s="4" t="s">
        <v>19</v>
      </c>
      <c r="AF41" s="15">
        <f t="shared" si="22"/>
        <v>2028.4705882352941</v>
      </c>
      <c r="AG41" s="15">
        <f t="shared" si="22"/>
        <v>2092.9285714285716</v>
      </c>
      <c r="AH41" s="15">
        <f t="shared" si="22"/>
        <v>2159.294117647059</v>
      </c>
      <c r="AI41" s="15">
        <f t="shared" si="22"/>
        <v>1563.41</v>
      </c>
      <c r="AJ41" s="15">
        <f t="shared" si="22"/>
        <v>1434.8504672897195</v>
      </c>
      <c r="AK41" s="15">
        <f t="shared" si="22"/>
        <v>1333.526627218935</v>
      </c>
      <c r="AL41" s="15">
        <f t="shared" si="22"/>
        <v>1396.328431372549</v>
      </c>
      <c r="AM41" s="15">
        <f t="shared" si="22"/>
        <v>1250.2914979757086</v>
      </c>
      <c r="AN41" s="15">
        <f t="shared" si="22"/>
        <v>1201.4040404040404</v>
      </c>
      <c r="AO41" s="15"/>
      <c r="AP41" s="15"/>
      <c r="AQ41" s="15"/>
      <c r="AR41" s="15">
        <f t="shared" si="14"/>
        <v>989.3115991763898</v>
      </c>
    </row>
    <row r="42" spans="1:44" ht="12.75">
      <c r="A42" s="1" t="s">
        <v>20</v>
      </c>
      <c r="B42" s="17">
        <f aca="true" t="shared" si="24" ref="B42:N42">B27/B12</f>
        <v>11146.182222222222</v>
      </c>
      <c r="C42" s="17">
        <f t="shared" si="24"/>
        <v>9757.407216494845</v>
      </c>
      <c r="D42" s="17">
        <f t="shared" si="24"/>
        <v>8985.07196969697</v>
      </c>
      <c r="E42" s="17">
        <f t="shared" si="24"/>
        <v>10230.49107142857</v>
      </c>
      <c r="F42" s="17">
        <f t="shared" si="24"/>
        <v>10549.603375527426</v>
      </c>
      <c r="G42" s="17">
        <f t="shared" si="24"/>
        <v>9276.496503496504</v>
      </c>
      <c r="H42" s="17">
        <f t="shared" si="24"/>
        <v>8633.692307692309</v>
      </c>
      <c r="I42" s="17">
        <f t="shared" si="24"/>
        <v>9745.838862559242</v>
      </c>
      <c r="J42" s="17">
        <f t="shared" si="24"/>
        <v>22892</v>
      </c>
      <c r="K42" s="17">
        <f t="shared" si="24"/>
        <v>9983.019553072625</v>
      </c>
      <c r="L42" s="17">
        <f t="shared" si="24"/>
        <v>11666.94537815126</v>
      </c>
      <c r="M42" s="17">
        <f t="shared" si="24"/>
        <v>9723.43613707165</v>
      </c>
      <c r="N42" s="17">
        <f t="shared" si="24"/>
        <v>12297.757575757576</v>
      </c>
      <c r="P42" s="1" t="s">
        <v>20</v>
      </c>
      <c r="Q42" s="17"/>
      <c r="R42" s="17"/>
      <c r="S42" s="17"/>
      <c r="T42" s="17">
        <f t="shared" si="16"/>
        <v>2291.5866091808266</v>
      </c>
      <c r="U42" s="17"/>
      <c r="V42" s="17">
        <f t="shared" si="16"/>
        <v>2077.57944606414</v>
      </c>
      <c r="W42" s="17">
        <f t="shared" si="16"/>
        <v>2104.6640654031958</v>
      </c>
      <c r="X42" s="17">
        <f t="shared" si="16"/>
        <v>2229.5075346594335</v>
      </c>
      <c r="Y42" s="17">
        <f t="shared" si="16"/>
        <v>2384.904791929382</v>
      </c>
      <c r="Z42" s="17">
        <f t="shared" si="16"/>
        <v>1234.2485207100592</v>
      </c>
      <c r="AA42" s="17">
        <f t="shared" si="16"/>
        <v>2002.154657687991</v>
      </c>
      <c r="AB42" s="17">
        <f t="shared" si="16"/>
        <v>1946.4762496891321</v>
      </c>
      <c r="AC42" s="17">
        <f t="shared" si="16"/>
        <v>2080.7906813126956</v>
      </c>
      <c r="AE42" s="4" t="s">
        <v>49</v>
      </c>
      <c r="AF42" s="15"/>
      <c r="AG42" s="15">
        <f aca="true" t="shared" si="25" ref="AG42:AN42">AG27/AG12</f>
        <v>854.4629629629629</v>
      </c>
      <c r="AH42" s="15">
        <f t="shared" si="25"/>
        <v>964.2843137254902</v>
      </c>
      <c r="AI42" s="15">
        <f t="shared" si="25"/>
        <v>1314.3214285714287</v>
      </c>
      <c r="AJ42" s="15">
        <f t="shared" si="25"/>
        <v>856.6666666666666</v>
      </c>
      <c r="AK42" s="15">
        <f t="shared" si="25"/>
        <v>1525.921875</v>
      </c>
      <c r="AL42" s="15">
        <f t="shared" si="25"/>
        <v>1029.0243902439024</v>
      </c>
      <c r="AM42" s="15">
        <f t="shared" si="25"/>
        <v>1154.6090909090908</v>
      </c>
      <c r="AN42" s="15">
        <f t="shared" si="25"/>
        <v>1126.9414893617022</v>
      </c>
      <c r="AO42" s="15"/>
      <c r="AP42" s="15"/>
      <c r="AQ42" s="15"/>
      <c r="AR42" s="15">
        <f t="shared" si="14"/>
        <v>467.29984051036683</v>
      </c>
    </row>
    <row r="43" spans="1:44" ht="12.75">
      <c r="A43" s="5" t="s">
        <v>24</v>
      </c>
      <c r="P43" s="5" t="s">
        <v>24</v>
      </c>
      <c r="AE43" s="1" t="s">
        <v>20</v>
      </c>
      <c r="AF43" s="17">
        <f aca="true" t="shared" si="26" ref="AF43:AQ43">AF28/AF13</f>
        <v>1103.3125129480009</v>
      </c>
      <c r="AG43" s="17">
        <f t="shared" si="26"/>
        <v>1076.8589070700834</v>
      </c>
      <c r="AH43" s="17">
        <f t="shared" si="26"/>
        <v>1111.3586279683377</v>
      </c>
      <c r="AI43" s="17">
        <f t="shared" si="26"/>
        <v>1137.9428544706323</v>
      </c>
      <c r="AJ43" s="17">
        <f t="shared" si="26"/>
        <v>1141.3841850055949</v>
      </c>
      <c r="AK43" s="17">
        <f t="shared" si="26"/>
        <v>1180.0516086423247</v>
      </c>
      <c r="AL43" s="17">
        <f t="shared" si="26"/>
        <v>1184.5619404199902</v>
      </c>
      <c r="AM43" s="17">
        <f t="shared" si="26"/>
        <v>1111.0176040025942</v>
      </c>
      <c r="AN43" s="17">
        <f t="shared" si="26"/>
        <v>1119.898730964467</v>
      </c>
      <c r="AO43" s="17">
        <f t="shared" si="26"/>
        <v>1189.7899770769109</v>
      </c>
      <c r="AP43" s="17">
        <f t="shared" si="26"/>
        <v>1151.087100835527</v>
      </c>
      <c r="AQ43" s="17">
        <f t="shared" si="26"/>
        <v>1051.0710844663313</v>
      </c>
      <c r="AR43" s="17">
        <f t="shared" si="14"/>
        <v>1134.1251926977689</v>
      </c>
    </row>
    <row r="44" ht="12.75">
      <c r="AE44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8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68</v>
      </c>
      <c r="P1" t="s">
        <v>69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</row>
    <row r="4" spans="1:29" ht="12.75">
      <c r="A4" s="4" t="s">
        <v>16</v>
      </c>
      <c r="B4" s="20"/>
      <c r="C4" s="20"/>
      <c r="D4" s="20"/>
      <c r="E4" s="20"/>
      <c r="F4" s="20"/>
      <c r="G4" s="20"/>
      <c r="H4" s="20"/>
      <c r="I4" s="20">
        <v>10</v>
      </c>
      <c r="J4" s="20"/>
      <c r="K4" s="8"/>
      <c r="L4" s="8"/>
      <c r="M4" s="8"/>
      <c r="N4" s="20">
        <f>SUM(B4:M4)</f>
        <v>10</v>
      </c>
      <c r="P4" s="4" t="s">
        <v>16</v>
      </c>
      <c r="Q4" s="22">
        <v>3</v>
      </c>
      <c r="R4" s="22"/>
      <c r="S4" s="22"/>
      <c r="T4" s="22">
        <v>1</v>
      </c>
      <c r="U4" s="22"/>
      <c r="V4" s="22">
        <v>4</v>
      </c>
      <c r="W4" s="22"/>
      <c r="X4" s="22"/>
      <c r="Y4" s="22"/>
      <c r="Z4" s="22"/>
      <c r="AA4" s="22">
        <v>3</v>
      </c>
      <c r="AB4" s="22"/>
      <c r="AC4" s="22">
        <f>SUM(Q4:AB4)</f>
        <v>11</v>
      </c>
    </row>
    <row r="5" spans="1:29" ht="12.75">
      <c r="A5" s="4" t="s">
        <v>18</v>
      </c>
      <c r="B5" s="20">
        <v>9</v>
      </c>
      <c r="C5" s="20">
        <v>4</v>
      </c>
      <c r="D5" s="20">
        <v>21</v>
      </c>
      <c r="E5" s="20">
        <v>22</v>
      </c>
      <c r="F5" s="20">
        <v>6</v>
      </c>
      <c r="G5" s="20">
        <v>16</v>
      </c>
      <c r="H5" s="20">
        <v>11</v>
      </c>
      <c r="I5" s="20">
        <v>15</v>
      </c>
      <c r="J5" s="20">
        <v>10</v>
      </c>
      <c r="K5" s="8">
        <v>17</v>
      </c>
      <c r="L5" s="8">
        <v>65</v>
      </c>
      <c r="M5" s="8">
        <v>20</v>
      </c>
      <c r="N5" s="20">
        <f>SUM(B5:M5)</f>
        <v>216</v>
      </c>
      <c r="P5" s="4" t="s">
        <v>18</v>
      </c>
      <c r="Q5" s="22">
        <v>24</v>
      </c>
      <c r="R5" s="22">
        <v>7</v>
      </c>
      <c r="S5" s="22">
        <v>112</v>
      </c>
      <c r="T5" s="22">
        <v>115</v>
      </c>
      <c r="U5" s="22">
        <v>86</v>
      </c>
      <c r="V5" s="22">
        <v>110</v>
      </c>
      <c r="W5" s="22">
        <v>67</v>
      </c>
      <c r="X5" s="22">
        <v>122</v>
      </c>
      <c r="Y5" s="22">
        <v>25</v>
      </c>
      <c r="Z5" s="22">
        <v>88</v>
      </c>
      <c r="AA5" s="22">
        <v>30</v>
      </c>
      <c r="AB5" s="22">
        <v>29</v>
      </c>
      <c r="AC5" s="22">
        <f>SUM(Q5:AB5)</f>
        <v>815</v>
      </c>
    </row>
    <row r="6" spans="1:29" ht="12.75">
      <c r="A6" s="4" t="s">
        <v>19</v>
      </c>
      <c r="B6" s="20"/>
      <c r="C6" s="24"/>
      <c r="D6" s="20"/>
      <c r="E6" s="20"/>
      <c r="F6" s="20"/>
      <c r="G6" s="20"/>
      <c r="H6" s="20"/>
      <c r="I6" s="20"/>
      <c r="J6" s="20"/>
      <c r="K6" s="8"/>
      <c r="L6" s="8"/>
      <c r="M6" s="8"/>
      <c r="N6" s="20"/>
      <c r="P6" s="4" t="s">
        <v>19</v>
      </c>
      <c r="Q6" s="22">
        <v>8</v>
      </c>
      <c r="R6" s="21"/>
      <c r="S6" s="22">
        <v>2</v>
      </c>
      <c r="T6" s="22"/>
      <c r="U6" s="22"/>
      <c r="V6" s="22"/>
      <c r="W6" s="22"/>
      <c r="X6" s="22"/>
      <c r="Y6" s="22"/>
      <c r="Z6" s="22"/>
      <c r="AA6" s="22"/>
      <c r="AB6" s="22"/>
      <c r="AC6" s="22">
        <f>SUM(Q6:AB6)</f>
        <v>10</v>
      </c>
    </row>
    <row r="7" spans="1:29" ht="12.75">
      <c r="A7" s="1" t="s">
        <v>20</v>
      </c>
      <c r="B7" s="10">
        <f aca="true" t="shared" si="0" ref="B7:M7">SUM(B4:B6)</f>
        <v>9</v>
      </c>
      <c r="C7" s="10">
        <f t="shared" si="0"/>
        <v>4</v>
      </c>
      <c r="D7" s="10">
        <f t="shared" si="0"/>
        <v>21</v>
      </c>
      <c r="E7" s="10">
        <f t="shared" si="0"/>
        <v>22</v>
      </c>
      <c r="F7" s="10">
        <f t="shared" si="0"/>
        <v>6</v>
      </c>
      <c r="G7" s="10">
        <f t="shared" si="0"/>
        <v>16</v>
      </c>
      <c r="H7" s="10">
        <f t="shared" si="0"/>
        <v>11</v>
      </c>
      <c r="I7" s="10">
        <f t="shared" si="0"/>
        <v>25</v>
      </c>
      <c r="J7" s="10">
        <f t="shared" si="0"/>
        <v>10</v>
      </c>
      <c r="K7" s="10">
        <f t="shared" si="0"/>
        <v>17</v>
      </c>
      <c r="L7" s="10">
        <f t="shared" si="0"/>
        <v>65</v>
      </c>
      <c r="M7" s="10">
        <f t="shared" si="0"/>
        <v>20</v>
      </c>
      <c r="N7" s="75">
        <f>SUM(B7:M7)</f>
        <v>226</v>
      </c>
      <c r="P7" s="1" t="s">
        <v>20</v>
      </c>
      <c r="Q7" s="45">
        <f aca="true" t="shared" si="1" ref="Q7:AB7">SUM(Q4:Q6)</f>
        <v>35</v>
      </c>
      <c r="R7" s="45">
        <f t="shared" si="1"/>
        <v>7</v>
      </c>
      <c r="S7" s="45">
        <f t="shared" si="1"/>
        <v>114</v>
      </c>
      <c r="T7" s="45">
        <f t="shared" si="1"/>
        <v>116</v>
      </c>
      <c r="U7" s="45">
        <f t="shared" si="1"/>
        <v>86</v>
      </c>
      <c r="V7" s="45">
        <f t="shared" si="1"/>
        <v>114</v>
      </c>
      <c r="W7" s="45">
        <f t="shared" si="1"/>
        <v>67</v>
      </c>
      <c r="X7" s="45">
        <f t="shared" si="1"/>
        <v>122</v>
      </c>
      <c r="Y7" s="45">
        <f t="shared" si="1"/>
        <v>25</v>
      </c>
      <c r="Z7" s="45">
        <f t="shared" si="1"/>
        <v>88</v>
      </c>
      <c r="AA7" s="45">
        <f t="shared" si="1"/>
        <v>33</v>
      </c>
      <c r="AB7" s="45">
        <f t="shared" si="1"/>
        <v>29</v>
      </c>
      <c r="AC7" s="45">
        <f>SUM(Q7:AB7)</f>
        <v>836</v>
      </c>
    </row>
    <row r="8" spans="1:16" ht="12.75">
      <c r="A8" s="5" t="s">
        <v>24</v>
      </c>
      <c r="P8" s="5" t="s">
        <v>24</v>
      </c>
    </row>
    <row r="11" spans="1:16" ht="12.75">
      <c r="A11" t="s">
        <v>68</v>
      </c>
      <c r="P11" t="s">
        <v>70</v>
      </c>
    </row>
    <row r="12" spans="1:16" ht="12.75">
      <c r="A12" t="s">
        <v>31</v>
      </c>
      <c r="P12" t="s">
        <v>31</v>
      </c>
    </row>
    <row r="13" spans="1:29" ht="12.75">
      <c r="A13" s="1" t="s">
        <v>21</v>
      </c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28</v>
      </c>
      <c r="L13" s="2" t="s">
        <v>29</v>
      </c>
      <c r="M13" s="2" t="s">
        <v>30</v>
      </c>
      <c r="N13" s="6" t="s">
        <v>25</v>
      </c>
      <c r="P13" s="1" t="s">
        <v>21</v>
      </c>
      <c r="Q13" s="2" t="s">
        <v>0</v>
      </c>
      <c r="R13" s="2" t="s">
        <v>1</v>
      </c>
      <c r="S13" s="2" t="s">
        <v>2</v>
      </c>
      <c r="T13" s="2" t="s">
        <v>3</v>
      </c>
      <c r="U13" s="2" t="s">
        <v>4</v>
      </c>
      <c r="V13" s="2" t="s">
        <v>5</v>
      </c>
      <c r="W13" s="2" t="s">
        <v>6</v>
      </c>
      <c r="X13" s="2" t="s">
        <v>7</v>
      </c>
      <c r="Y13" s="2" t="s">
        <v>8</v>
      </c>
      <c r="Z13" s="2" t="s">
        <v>28</v>
      </c>
      <c r="AA13" s="2" t="s">
        <v>29</v>
      </c>
      <c r="AB13" s="2" t="s">
        <v>30</v>
      </c>
      <c r="AC13" s="6" t="s">
        <v>25</v>
      </c>
    </row>
    <row r="14" spans="1:29" ht="12.75">
      <c r="A14" s="4" t="s">
        <v>16</v>
      </c>
      <c r="B14" s="8"/>
      <c r="C14" s="8">
        <v>9698</v>
      </c>
      <c r="D14" s="8"/>
      <c r="E14" s="8"/>
      <c r="F14" s="8"/>
      <c r="G14" s="8"/>
      <c r="H14" s="8"/>
      <c r="I14" s="8">
        <v>69372</v>
      </c>
      <c r="J14" s="8"/>
      <c r="K14" s="8"/>
      <c r="L14" s="8"/>
      <c r="M14" s="8"/>
      <c r="N14" s="8">
        <f>SUM(B14:M14)</f>
        <v>79070</v>
      </c>
      <c r="P14" s="4" t="s">
        <v>16</v>
      </c>
      <c r="Q14" s="8">
        <v>28753</v>
      </c>
      <c r="R14" s="8">
        <v>86</v>
      </c>
      <c r="S14" s="8"/>
      <c r="T14" s="8">
        <v>7114</v>
      </c>
      <c r="U14" s="8"/>
      <c r="V14" s="8">
        <v>38816</v>
      </c>
      <c r="W14" s="8"/>
      <c r="X14" s="8"/>
      <c r="Y14" s="8">
        <v>395</v>
      </c>
      <c r="Z14" s="8"/>
      <c r="AA14" s="8">
        <v>11644</v>
      </c>
      <c r="AB14" s="8"/>
      <c r="AC14" s="8">
        <f>SUM(Q14:AB14)</f>
        <v>86808</v>
      </c>
    </row>
    <row r="15" spans="1:29" ht="12.75">
      <c r="A15" s="4" t="s">
        <v>18</v>
      </c>
      <c r="B15" s="8">
        <v>146731</v>
      </c>
      <c r="C15" s="8">
        <v>62040</v>
      </c>
      <c r="D15" s="8">
        <v>342372</v>
      </c>
      <c r="E15" s="8">
        <v>348269</v>
      </c>
      <c r="F15" s="8">
        <v>86946</v>
      </c>
      <c r="G15" s="8">
        <v>231117</v>
      </c>
      <c r="H15" s="8">
        <v>148666</v>
      </c>
      <c r="I15" s="8">
        <v>216532</v>
      </c>
      <c r="J15" s="8">
        <v>142499</v>
      </c>
      <c r="K15" s="8">
        <v>248622</v>
      </c>
      <c r="L15" s="8">
        <v>538934</v>
      </c>
      <c r="M15" s="8">
        <v>258316</v>
      </c>
      <c r="N15" s="8">
        <f>SUM(B15:M15)</f>
        <v>2771044</v>
      </c>
      <c r="P15" s="4" t="s">
        <v>18</v>
      </c>
      <c r="Q15" s="8">
        <v>201580</v>
      </c>
      <c r="R15" s="8">
        <v>63031</v>
      </c>
      <c r="S15" s="8">
        <v>494745</v>
      </c>
      <c r="T15" s="8">
        <v>592535</v>
      </c>
      <c r="U15" s="8">
        <v>389555</v>
      </c>
      <c r="V15" s="8">
        <v>512259</v>
      </c>
      <c r="W15" s="8">
        <v>489349</v>
      </c>
      <c r="X15" s="8">
        <v>716163</v>
      </c>
      <c r="Y15" s="8">
        <v>263089</v>
      </c>
      <c r="Z15" s="8">
        <v>605701</v>
      </c>
      <c r="AA15" s="8">
        <v>272631</v>
      </c>
      <c r="AB15" s="8">
        <v>307185</v>
      </c>
      <c r="AC15" s="8">
        <f>SUM(Q15:AB15)</f>
        <v>4907823</v>
      </c>
    </row>
    <row r="16" spans="1:29" ht="12.75">
      <c r="A16" s="4" t="s">
        <v>19</v>
      </c>
      <c r="B16" s="8"/>
      <c r="C16" s="8"/>
      <c r="D16" s="8"/>
      <c r="E16" s="8"/>
      <c r="F16" s="8"/>
      <c r="G16" s="8"/>
      <c r="H16" s="8"/>
      <c r="I16" s="8">
        <v>1461</v>
      </c>
      <c r="J16" s="8"/>
      <c r="K16" s="8"/>
      <c r="L16" s="8"/>
      <c r="M16" s="8"/>
      <c r="N16" s="8">
        <f>SUM(B16:M16)</f>
        <v>1461</v>
      </c>
      <c r="P16" s="4" t="s">
        <v>19</v>
      </c>
      <c r="Q16" s="8">
        <v>8343</v>
      </c>
      <c r="R16" s="8"/>
      <c r="S16" s="8">
        <v>2100</v>
      </c>
      <c r="T16" s="8"/>
      <c r="U16" s="8"/>
      <c r="V16" s="8"/>
      <c r="W16" s="8"/>
      <c r="X16" s="8"/>
      <c r="Y16" s="8"/>
      <c r="Z16" s="8"/>
      <c r="AA16" s="8"/>
      <c r="AB16" s="8"/>
      <c r="AC16" s="8">
        <f>SUM(Q16:AB16)</f>
        <v>10443</v>
      </c>
    </row>
    <row r="17" spans="1:29" ht="12.75">
      <c r="A17" s="1" t="s">
        <v>20</v>
      </c>
      <c r="B17" s="10">
        <f aca="true" t="shared" si="2" ref="B17:M17">SUM(B14:B16)</f>
        <v>146731</v>
      </c>
      <c r="C17" s="10">
        <f t="shared" si="2"/>
        <v>71738</v>
      </c>
      <c r="D17" s="10">
        <f t="shared" si="2"/>
        <v>342372</v>
      </c>
      <c r="E17" s="10">
        <f t="shared" si="2"/>
        <v>348269</v>
      </c>
      <c r="F17" s="10">
        <f t="shared" si="2"/>
        <v>86946</v>
      </c>
      <c r="G17" s="10">
        <f t="shared" si="2"/>
        <v>231117</v>
      </c>
      <c r="H17" s="10">
        <f t="shared" si="2"/>
        <v>148666</v>
      </c>
      <c r="I17" s="10">
        <f t="shared" si="2"/>
        <v>287365</v>
      </c>
      <c r="J17" s="10">
        <f t="shared" si="2"/>
        <v>142499</v>
      </c>
      <c r="K17" s="10">
        <f t="shared" si="2"/>
        <v>248622</v>
      </c>
      <c r="L17" s="10">
        <f t="shared" si="2"/>
        <v>538934</v>
      </c>
      <c r="M17" s="10">
        <f t="shared" si="2"/>
        <v>258316</v>
      </c>
      <c r="N17" s="10">
        <f>SUM(B17:M17)</f>
        <v>2851575</v>
      </c>
      <c r="P17" s="1" t="s">
        <v>20</v>
      </c>
      <c r="Q17" s="10">
        <f aca="true" t="shared" si="3" ref="Q17:AB17">SUM(Q14:Q16)</f>
        <v>238676</v>
      </c>
      <c r="R17" s="10">
        <f t="shared" si="3"/>
        <v>63117</v>
      </c>
      <c r="S17" s="10">
        <f t="shared" si="3"/>
        <v>496845</v>
      </c>
      <c r="T17" s="10">
        <f t="shared" si="3"/>
        <v>599649</v>
      </c>
      <c r="U17" s="10">
        <f t="shared" si="3"/>
        <v>389555</v>
      </c>
      <c r="V17" s="10">
        <f t="shared" si="3"/>
        <v>551075</v>
      </c>
      <c r="W17" s="10">
        <f t="shared" si="3"/>
        <v>489349</v>
      </c>
      <c r="X17" s="10">
        <f t="shared" si="3"/>
        <v>716163</v>
      </c>
      <c r="Y17" s="10">
        <f t="shared" si="3"/>
        <v>263484</v>
      </c>
      <c r="Z17" s="10">
        <f t="shared" si="3"/>
        <v>605701</v>
      </c>
      <c r="AA17" s="10">
        <f t="shared" si="3"/>
        <v>284275</v>
      </c>
      <c r="AB17" s="10">
        <f t="shared" si="3"/>
        <v>307185</v>
      </c>
      <c r="AC17" s="10">
        <f>SUM(Q17:AB17)</f>
        <v>5005074</v>
      </c>
    </row>
    <row r="18" spans="1:16" ht="12.75">
      <c r="A18" s="5" t="s">
        <v>24</v>
      </c>
      <c r="P18" s="5" t="s">
        <v>24</v>
      </c>
    </row>
    <row r="21" spans="1:16" ht="12.75">
      <c r="A21" t="s">
        <v>68</v>
      </c>
      <c r="P21" t="s">
        <v>69</v>
      </c>
    </row>
    <row r="22" spans="1:16" ht="12.75">
      <c r="A22" t="s">
        <v>32</v>
      </c>
      <c r="P22" t="s">
        <v>32</v>
      </c>
    </row>
    <row r="23" spans="1:29" ht="12.75">
      <c r="A23" s="1" t="s">
        <v>21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28</v>
      </c>
      <c r="L23" s="2" t="s">
        <v>29</v>
      </c>
      <c r="M23" s="2" t="s">
        <v>30</v>
      </c>
      <c r="N23" s="6" t="s">
        <v>25</v>
      </c>
      <c r="P23" s="1" t="s">
        <v>21</v>
      </c>
      <c r="Q23" s="2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2" t="s">
        <v>6</v>
      </c>
      <c r="X23" s="2" t="s">
        <v>7</v>
      </c>
      <c r="Y23" s="2" t="s">
        <v>8</v>
      </c>
      <c r="Z23" s="2" t="s">
        <v>28</v>
      </c>
      <c r="AA23" s="2" t="s">
        <v>29</v>
      </c>
      <c r="AB23" s="2" t="s">
        <v>30</v>
      </c>
      <c r="AC23" s="6" t="s">
        <v>25</v>
      </c>
    </row>
    <row r="24" spans="1:29" ht="12.75">
      <c r="A24" s="4" t="s">
        <v>16</v>
      </c>
      <c r="B24" s="15"/>
      <c r="C24" s="15"/>
      <c r="D24" s="15"/>
      <c r="E24" s="15"/>
      <c r="F24" s="15"/>
      <c r="G24" s="15"/>
      <c r="H24" s="15"/>
      <c r="I24" s="15">
        <f>I14/I4</f>
        <v>6937.2</v>
      </c>
      <c r="J24" s="15"/>
      <c r="K24" s="15"/>
      <c r="L24" s="15"/>
      <c r="M24" s="15"/>
      <c r="N24" s="15">
        <f>N14/N4</f>
        <v>7907</v>
      </c>
      <c r="P24" s="4" t="s">
        <v>16</v>
      </c>
      <c r="Q24" s="15">
        <f>Q14/Q4</f>
        <v>9584.333333333334</v>
      </c>
      <c r="R24" s="15"/>
      <c r="S24" s="15"/>
      <c r="T24" s="15">
        <f>T14/T4</f>
        <v>7114</v>
      </c>
      <c r="U24" s="15"/>
      <c r="V24" s="15">
        <f>V14/V4</f>
        <v>9704</v>
      </c>
      <c r="W24" s="15"/>
      <c r="X24" s="15"/>
      <c r="Y24" s="15"/>
      <c r="Z24" s="15"/>
      <c r="AA24" s="15">
        <f>AA14/AA4</f>
        <v>3881.3333333333335</v>
      </c>
      <c r="AB24" s="15"/>
      <c r="AC24" s="15">
        <f>AC14/AC4</f>
        <v>7891.636363636364</v>
      </c>
    </row>
    <row r="25" spans="1:29" ht="12.75">
      <c r="A25" s="4" t="s">
        <v>18</v>
      </c>
      <c r="B25" s="15">
        <f aca="true" t="shared" si="4" ref="B25:H25">B15/B5</f>
        <v>16303.444444444445</v>
      </c>
      <c r="C25" s="15">
        <f t="shared" si="4"/>
        <v>15510</v>
      </c>
      <c r="D25" s="15">
        <f t="shared" si="4"/>
        <v>16303.42857142857</v>
      </c>
      <c r="E25" s="15">
        <f t="shared" si="4"/>
        <v>15830.40909090909</v>
      </c>
      <c r="F25" s="15">
        <f t="shared" si="4"/>
        <v>14491</v>
      </c>
      <c r="G25" s="15">
        <f t="shared" si="4"/>
        <v>14444.8125</v>
      </c>
      <c r="H25" s="15">
        <f t="shared" si="4"/>
        <v>13515.09090909091</v>
      </c>
      <c r="I25" s="15">
        <f>I15/I5</f>
        <v>14435.466666666667</v>
      </c>
      <c r="J25" s="15">
        <f>J15/J5</f>
        <v>14249.9</v>
      </c>
      <c r="K25" s="15">
        <f>K15/K5</f>
        <v>14624.823529411764</v>
      </c>
      <c r="L25" s="15">
        <f>L15/L5</f>
        <v>8291.292307692307</v>
      </c>
      <c r="M25" s="15">
        <f>M15/M5</f>
        <v>12915.8</v>
      </c>
      <c r="N25" s="15">
        <f>N15/N5</f>
        <v>12828.907407407407</v>
      </c>
      <c r="P25" s="4" t="s">
        <v>18</v>
      </c>
      <c r="Q25" s="15">
        <f>Q15/Q5</f>
        <v>8399.166666666666</v>
      </c>
      <c r="R25" s="15">
        <f>R15/R5</f>
        <v>9004.42857142857</v>
      </c>
      <c r="S25" s="15">
        <f>S15/S5</f>
        <v>4417.366071428572</v>
      </c>
      <c r="T25" s="15">
        <f>T15/T5</f>
        <v>5152.478260869565</v>
      </c>
      <c r="U25" s="15">
        <f>U15/U5</f>
        <v>4529.709302325581</v>
      </c>
      <c r="V25" s="15">
        <f>V15/V5</f>
        <v>4656.9</v>
      </c>
      <c r="W25" s="15">
        <f>W15/W5</f>
        <v>7303.7164179104475</v>
      </c>
      <c r="X25" s="15">
        <f>X15/X5</f>
        <v>5870.188524590164</v>
      </c>
      <c r="Y25" s="15">
        <f>Y15/Y5</f>
        <v>10523.56</v>
      </c>
      <c r="Z25" s="15">
        <f>Z15/Z5</f>
        <v>6882.965909090909</v>
      </c>
      <c r="AA25" s="15">
        <f>AA15/AA5</f>
        <v>9087.7</v>
      </c>
      <c r="AB25" s="15">
        <f>AB15/AB5</f>
        <v>10592.586206896553</v>
      </c>
      <c r="AC25" s="15">
        <f>AC15/AC5</f>
        <v>6021.8687116564415</v>
      </c>
    </row>
    <row r="26" spans="1:29" ht="12.75">
      <c r="A26" s="4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P26" s="4" t="s">
        <v>19</v>
      </c>
      <c r="Q26" s="15">
        <f>Q16/Q6</f>
        <v>1042.875</v>
      </c>
      <c r="R26" s="15"/>
      <c r="S26" s="15">
        <f>S16/S6</f>
        <v>1050</v>
      </c>
      <c r="T26" s="15"/>
      <c r="U26" s="15"/>
      <c r="V26" s="15"/>
      <c r="W26" s="15"/>
      <c r="X26" s="15"/>
      <c r="Y26" s="15"/>
      <c r="Z26" s="15"/>
      <c r="AA26" s="15"/>
      <c r="AB26" s="15"/>
      <c r="AC26" s="15">
        <f>AC16/AC6</f>
        <v>1044.3</v>
      </c>
    </row>
    <row r="27" spans="1:29" ht="12.75">
      <c r="A27" s="1" t="s">
        <v>20</v>
      </c>
      <c r="B27" s="17">
        <f aca="true" t="shared" si="5" ref="B27:N27">B17/B7</f>
        <v>16303.444444444445</v>
      </c>
      <c r="C27" s="17">
        <f t="shared" si="5"/>
        <v>17934.5</v>
      </c>
      <c r="D27" s="17">
        <f t="shared" si="5"/>
        <v>16303.42857142857</v>
      </c>
      <c r="E27" s="17">
        <f t="shared" si="5"/>
        <v>15830.40909090909</v>
      </c>
      <c r="F27" s="17">
        <f t="shared" si="5"/>
        <v>14491</v>
      </c>
      <c r="G27" s="17">
        <f t="shared" si="5"/>
        <v>14444.8125</v>
      </c>
      <c r="H27" s="17">
        <f t="shared" si="5"/>
        <v>13515.09090909091</v>
      </c>
      <c r="I27" s="17">
        <f t="shared" si="5"/>
        <v>11494.6</v>
      </c>
      <c r="J27" s="17">
        <f t="shared" si="5"/>
        <v>14249.9</v>
      </c>
      <c r="K27" s="17">
        <f t="shared" si="5"/>
        <v>14624.823529411764</v>
      </c>
      <c r="L27" s="17">
        <f t="shared" si="5"/>
        <v>8291.292307692307</v>
      </c>
      <c r="M27" s="17">
        <f t="shared" si="5"/>
        <v>12915.8</v>
      </c>
      <c r="N27" s="17">
        <f t="shared" si="5"/>
        <v>12617.58849557522</v>
      </c>
      <c r="P27" s="1" t="s">
        <v>20</v>
      </c>
      <c r="Q27" s="17">
        <f aca="true" t="shared" si="6" ref="Q27:AC27">Q17/Q7</f>
        <v>6819.314285714286</v>
      </c>
      <c r="R27" s="17">
        <f t="shared" si="6"/>
        <v>9016.714285714286</v>
      </c>
      <c r="S27" s="17">
        <f t="shared" si="6"/>
        <v>4358.289473684211</v>
      </c>
      <c r="T27" s="17">
        <f t="shared" si="6"/>
        <v>5169.387931034483</v>
      </c>
      <c r="U27" s="17">
        <f t="shared" si="6"/>
        <v>4529.709302325581</v>
      </c>
      <c r="V27" s="17">
        <f t="shared" si="6"/>
        <v>4833.991228070176</v>
      </c>
      <c r="W27" s="17">
        <f t="shared" si="6"/>
        <v>7303.7164179104475</v>
      </c>
      <c r="X27" s="17">
        <f t="shared" si="6"/>
        <v>5870.188524590164</v>
      </c>
      <c r="Y27" s="17">
        <f t="shared" si="6"/>
        <v>10539.36</v>
      </c>
      <c r="Z27" s="17">
        <f t="shared" si="6"/>
        <v>6882.965909090909</v>
      </c>
      <c r="AA27" s="17">
        <f t="shared" si="6"/>
        <v>8614.39393939394</v>
      </c>
      <c r="AB27" s="17">
        <f t="shared" si="6"/>
        <v>10592.586206896553</v>
      </c>
      <c r="AC27" s="17">
        <f t="shared" si="6"/>
        <v>5986.93062200957</v>
      </c>
    </row>
    <row r="28" spans="1:16" ht="12.75">
      <c r="A28" s="5" t="s">
        <v>24</v>
      </c>
      <c r="P28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71</v>
      </c>
      <c r="P1" t="s">
        <v>72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</row>
    <row r="4" spans="1:29" ht="12.75">
      <c r="A4" s="4" t="s">
        <v>73</v>
      </c>
      <c r="B4" s="20"/>
      <c r="C4" s="20"/>
      <c r="D4" s="20">
        <v>1</v>
      </c>
      <c r="E4" s="20"/>
      <c r="F4" s="20"/>
      <c r="G4" s="20"/>
      <c r="H4" s="20"/>
      <c r="I4" s="20"/>
      <c r="J4" s="20"/>
      <c r="K4" s="8"/>
      <c r="L4" s="8"/>
      <c r="M4" s="8"/>
      <c r="N4" s="20"/>
      <c r="P4" s="4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8"/>
      <c r="AA4" s="8"/>
      <c r="AB4" s="8"/>
      <c r="AC4" s="20"/>
    </row>
    <row r="5" spans="1:29" ht="12.75">
      <c r="A5" s="4" t="s">
        <v>11</v>
      </c>
      <c r="B5" s="22"/>
      <c r="C5" s="22"/>
      <c r="D5" s="22"/>
      <c r="E5" s="22">
        <v>69</v>
      </c>
      <c r="F5" s="8">
        <v>1117</v>
      </c>
      <c r="G5" s="8">
        <v>1472</v>
      </c>
      <c r="H5" s="22">
        <v>604</v>
      </c>
      <c r="I5" s="22">
        <v>58</v>
      </c>
      <c r="J5" s="20"/>
      <c r="K5" s="8"/>
      <c r="L5" s="8"/>
      <c r="M5" s="8"/>
      <c r="N5" s="20">
        <f aca="true" t="shared" si="0" ref="N5:N10">SUM(B5:M5)</f>
        <v>3320</v>
      </c>
      <c r="P5" s="4" t="s">
        <v>11</v>
      </c>
      <c r="Q5" s="20"/>
      <c r="R5" s="20"/>
      <c r="S5" s="20"/>
      <c r="T5" s="20">
        <f>T18/T31</f>
        <v>0.3050045522483621</v>
      </c>
      <c r="U5" s="8">
        <v>95</v>
      </c>
      <c r="V5" s="8">
        <v>1386</v>
      </c>
      <c r="W5" s="8">
        <v>2220</v>
      </c>
      <c r="X5" s="8"/>
      <c r="Y5" s="20"/>
      <c r="Z5" s="8"/>
      <c r="AA5" s="8"/>
      <c r="AB5" s="8"/>
      <c r="AC5" s="20">
        <f>SUM(Q5:Y5)</f>
        <v>3701.3050045522486</v>
      </c>
    </row>
    <row r="6" spans="1:29" ht="12.75">
      <c r="A6" s="4" t="s">
        <v>13</v>
      </c>
      <c r="B6" s="22"/>
      <c r="C6" s="22"/>
      <c r="D6" s="22"/>
      <c r="E6" s="22"/>
      <c r="F6" s="22"/>
      <c r="G6" s="22"/>
      <c r="H6" s="22"/>
      <c r="I6" s="22"/>
      <c r="J6" s="20"/>
      <c r="K6" s="8"/>
      <c r="L6" s="8"/>
      <c r="M6" s="8"/>
      <c r="N6" s="20"/>
      <c r="P6" s="4" t="s">
        <v>13</v>
      </c>
      <c r="Q6" s="8">
        <v>164</v>
      </c>
      <c r="R6" s="8">
        <v>112</v>
      </c>
      <c r="S6" s="8">
        <v>239</v>
      </c>
      <c r="T6" s="8">
        <v>194</v>
      </c>
      <c r="U6" s="8">
        <v>173</v>
      </c>
      <c r="V6" s="8">
        <v>136</v>
      </c>
      <c r="W6" s="8">
        <v>140</v>
      </c>
      <c r="X6" s="8">
        <v>159</v>
      </c>
      <c r="Y6" s="20"/>
      <c r="Z6" s="8"/>
      <c r="AA6" s="8"/>
      <c r="AB6" s="8"/>
      <c r="AC6" s="20">
        <f>SUM(Q6:Y6)</f>
        <v>1317</v>
      </c>
    </row>
    <row r="7" spans="1:29" ht="12.75">
      <c r="A7" s="4" t="s">
        <v>62</v>
      </c>
      <c r="B7" s="22"/>
      <c r="C7" s="22"/>
      <c r="D7" s="22"/>
      <c r="E7" s="22"/>
      <c r="F7" s="22"/>
      <c r="G7" s="22"/>
      <c r="H7" s="22"/>
      <c r="I7" s="22"/>
      <c r="J7" s="20"/>
      <c r="K7" s="8"/>
      <c r="L7" s="8"/>
      <c r="M7" s="8"/>
      <c r="N7" s="20"/>
      <c r="P7" s="4" t="s">
        <v>62</v>
      </c>
      <c r="Q7" s="8"/>
      <c r="R7" s="8"/>
      <c r="S7" s="8"/>
      <c r="T7" s="20">
        <f>T20/T33</f>
        <v>0.04402573917403876</v>
      </c>
      <c r="U7" s="8"/>
      <c r="V7" s="8"/>
      <c r="W7" s="8"/>
      <c r="X7" s="8"/>
      <c r="Y7" s="20"/>
      <c r="Z7" s="8"/>
      <c r="AA7" s="8"/>
      <c r="AB7" s="8"/>
      <c r="AC7" s="26">
        <f>SUM(Q7:Y7)</f>
        <v>0.04402573917403876</v>
      </c>
    </row>
    <row r="8" spans="1:29" ht="12.75">
      <c r="A8" s="4" t="s">
        <v>18</v>
      </c>
      <c r="B8" s="22">
        <v>201</v>
      </c>
      <c r="C8" s="22">
        <v>215</v>
      </c>
      <c r="D8" s="22">
        <v>208</v>
      </c>
      <c r="E8" s="22">
        <v>195</v>
      </c>
      <c r="F8" s="22">
        <v>150</v>
      </c>
      <c r="G8" s="22">
        <v>84</v>
      </c>
      <c r="H8" s="22">
        <v>144</v>
      </c>
      <c r="I8" s="22">
        <v>287</v>
      </c>
      <c r="J8" s="20">
        <v>365</v>
      </c>
      <c r="K8" s="8">
        <v>305</v>
      </c>
      <c r="L8" s="8">
        <v>220</v>
      </c>
      <c r="M8" s="8">
        <v>231</v>
      </c>
      <c r="N8" s="20">
        <f t="shared" si="0"/>
        <v>2605</v>
      </c>
      <c r="P8" s="4" t="s">
        <v>18</v>
      </c>
      <c r="Q8" s="8">
        <v>1555</v>
      </c>
      <c r="R8" s="8">
        <v>700</v>
      </c>
      <c r="S8" s="8">
        <v>2080</v>
      </c>
      <c r="T8" s="8">
        <v>2412</v>
      </c>
      <c r="U8" s="8">
        <v>2452</v>
      </c>
      <c r="V8" s="8">
        <v>2564</v>
      </c>
      <c r="W8" s="8">
        <v>2516</v>
      </c>
      <c r="X8" s="8">
        <v>2752</v>
      </c>
      <c r="Y8" s="20"/>
      <c r="Z8" s="8"/>
      <c r="AA8" s="8"/>
      <c r="AB8" s="8"/>
      <c r="AC8" s="20">
        <f>SUM(Q8:Y8)</f>
        <v>17031</v>
      </c>
    </row>
    <row r="9" spans="1:29" ht="12.75">
      <c r="A9" s="4" t="s">
        <v>19</v>
      </c>
      <c r="B9" s="22">
        <v>244</v>
      </c>
      <c r="C9" s="21">
        <v>78</v>
      </c>
      <c r="D9" s="22">
        <v>310</v>
      </c>
      <c r="E9" s="22">
        <v>299</v>
      </c>
      <c r="F9" s="22">
        <v>222</v>
      </c>
      <c r="G9" s="22">
        <v>154</v>
      </c>
      <c r="H9" s="22">
        <v>161</v>
      </c>
      <c r="I9" s="22">
        <v>187</v>
      </c>
      <c r="J9" s="20">
        <v>110</v>
      </c>
      <c r="K9" s="8">
        <v>118</v>
      </c>
      <c r="L9" s="8">
        <v>124</v>
      </c>
      <c r="M9" s="8">
        <v>206</v>
      </c>
      <c r="N9" s="20">
        <f t="shared" si="0"/>
        <v>2213</v>
      </c>
      <c r="P9" s="4" t="s">
        <v>19</v>
      </c>
      <c r="Q9" s="8">
        <v>1971</v>
      </c>
      <c r="R9" s="25">
        <v>1525</v>
      </c>
      <c r="S9" s="8">
        <v>2957</v>
      </c>
      <c r="T9" s="8">
        <v>2648</v>
      </c>
      <c r="U9" s="8">
        <v>3133</v>
      </c>
      <c r="V9" s="8">
        <v>2212</v>
      </c>
      <c r="W9" s="8">
        <v>2170</v>
      </c>
      <c r="X9" s="8">
        <v>2385</v>
      </c>
      <c r="Y9" s="20"/>
      <c r="Z9" s="8"/>
      <c r="AA9" s="8"/>
      <c r="AB9" s="8"/>
      <c r="AC9" s="20">
        <f>SUM(Q9:Y9)</f>
        <v>19001</v>
      </c>
    </row>
    <row r="10" spans="1:29" ht="12.75">
      <c r="A10" s="1" t="s">
        <v>20</v>
      </c>
      <c r="B10" s="10">
        <f aca="true" t="shared" si="1" ref="B10:M10">SUM(B4:B9)</f>
        <v>445</v>
      </c>
      <c r="C10" s="10">
        <f t="shared" si="1"/>
        <v>293</v>
      </c>
      <c r="D10" s="10">
        <f t="shared" si="1"/>
        <v>519</v>
      </c>
      <c r="E10" s="10">
        <f t="shared" si="1"/>
        <v>563</v>
      </c>
      <c r="F10" s="10">
        <f t="shared" si="1"/>
        <v>1489</v>
      </c>
      <c r="G10" s="10">
        <f t="shared" si="1"/>
        <v>1710</v>
      </c>
      <c r="H10" s="10">
        <f t="shared" si="1"/>
        <v>909</v>
      </c>
      <c r="I10" s="10">
        <f t="shared" si="1"/>
        <v>532</v>
      </c>
      <c r="J10" s="10">
        <f t="shared" si="1"/>
        <v>475</v>
      </c>
      <c r="K10" s="10">
        <f t="shared" si="1"/>
        <v>423</v>
      </c>
      <c r="L10" s="10">
        <f t="shared" si="1"/>
        <v>344</v>
      </c>
      <c r="M10" s="10">
        <f t="shared" si="1"/>
        <v>437</v>
      </c>
      <c r="N10" s="75">
        <f t="shared" si="0"/>
        <v>8139</v>
      </c>
      <c r="P10" s="1" t="s">
        <v>20</v>
      </c>
      <c r="Q10" s="10">
        <f aca="true" t="shared" si="2" ref="Q10:AC10">SUM(Q4:Q9)</f>
        <v>3690</v>
      </c>
      <c r="R10" s="10">
        <f t="shared" si="2"/>
        <v>2337</v>
      </c>
      <c r="S10" s="10">
        <f t="shared" si="2"/>
        <v>5276</v>
      </c>
      <c r="T10" s="10">
        <f t="shared" si="2"/>
        <v>5254.349030291422</v>
      </c>
      <c r="U10" s="10">
        <f t="shared" si="2"/>
        <v>5853</v>
      </c>
      <c r="V10" s="10">
        <f t="shared" si="2"/>
        <v>6298</v>
      </c>
      <c r="W10" s="10">
        <f t="shared" si="2"/>
        <v>7046</v>
      </c>
      <c r="X10" s="10">
        <f t="shared" si="2"/>
        <v>5296</v>
      </c>
      <c r="Y10" s="10">
        <f t="shared" si="2"/>
        <v>0</v>
      </c>
      <c r="Z10" s="10">
        <f t="shared" si="2"/>
        <v>0</v>
      </c>
      <c r="AA10" s="10">
        <f t="shared" si="2"/>
        <v>0</v>
      </c>
      <c r="AB10" s="10">
        <f t="shared" si="2"/>
        <v>0</v>
      </c>
      <c r="AC10" s="10">
        <f t="shared" si="2"/>
        <v>41050.34903029142</v>
      </c>
    </row>
    <row r="11" spans="1:16" ht="12.75">
      <c r="A11" s="5" t="s">
        <v>24</v>
      </c>
      <c r="P11" s="5" t="s">
        <v>24</v>
      </c>
    </row>
    <row r="14" spans="1:16" ht="12.75">
      <c r="A14" t="s">
        <v>71</v>
      </c>
      <c r="P14" t="s">
        <v>72</v>
      </c>
    </row>
    <row r="15" spans="1:16" ht="12.75">
      <c r="A15" t="s">
        <v>31</v>
      </c>
      <c r="P15" t="s">
        <v>31</v>
      </c>
    </row>
    <row r="16" spans="1:29" ht="12.75">
      <c r="A16" s="1" t="s">
        <v>21</v>
      </c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28</v>
      </c>
      <c r="L16" s="2" t="s">
        <v>29</v>
      </c>
      <c r="M16" s="2" t="s">
        <v>30</v>
      </c>
      <c r="N16" s="6" t="s">
        <v>25</v>
      </c>
      <c r="P16" s="1" t="s">
        <v>21</v>
      </c>
      <c r="Q16" s="2" t="s">
        <v>0</v>
      </c>
      <c r="R16" s="2" t="s">
        <v>1</v>
      </c>
      <c r="S16" s="2" t="s">
        <v>2</v>
      </c>
      <c r="T16" s="2" t="s">
        <v>3</v>
      </c>
      <c r="U16" s="2" t="s">
        <v>4</v>
      </c>
      <c r="V16" s="2" t="s">
        <v>5</v>
      </c>
      <c r="W16" s="2" t="s">
        <v>6</v>
      </c>
      <c r="X16" s="2" t="s">
        <v>7</v>
      </c>
      <c r="Y16" s="2" t="s">
        <v>8</v>
      </c>
      <c r="Z16" s="2" t="s">
        <v>28</v>
      </c>
      <c r="AA16" s="2" t="s">
        <v>29</v>
      </c>
      <c r="AB16" s="2" t="s">
        <v>30</v>
      </c>
      <c r="AC16" s="6" t="s">
        <v>25</v>
      </c>
    </row>
    <row r="17" spans="1:29" ht="12.75">
      <c r="A17" s="4" t="s">
        <v>73</v>
      </c>
      <c r="B17" s="8"/>
      <c r="C17" s="8"/>
      <c r="D17" s="8">
        <v>4542</v>
      </c>
      <c r="E17" s="8"/>
      <c r="F17" s="8"/>
      <c r="G17" s="8"/>
      <c r="H17" s="8"/>
      <c r="I17" s="8"/>
      <c r="J17" s="8"/>
      <c r="K17" s="8"/>
      <c r="L17" s="8"/>
      <c r="M17" s="8"/>
      <c r="N17" s="8">
        <f>SUM(B17:M17)</f>
        <v>4542</v>
      </c>
      <c r="P17" s="4" t="s">
        <v>73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f aca="true" t="shared" si="3" ref="AC17:AC22">SUM(Q17:Y17)</f>
        <v>0</v>
      </c>
    </row>
    <row r="18" spans="1:29" ht="12.75">
      <c r="A18" s="4" t="s">
        <v>11</v>
      </c>
      <c r="B18" s="8"/>
      <c r="C18" s="8"/>
      <c r="D18" s="8"/>
      <c r="E18" s="8">
        <v>766588</v>
      </c>
      <c r="F18" s="8">
        <v>7464228</v>
      </c>
      <c r="G18" s="8">
        <v>9135799</v>
      </c>
      <c r="H18" s="8">
        <v>3752486</v>
      </c>
      <c r="I18" s="8">
        <v>283438</v>
      </c>
      <c r="J18" s="8"/>
      <c r="K18" s="8"/>
      <c r="L18" s="8"/>
      <c r="M18" s="8"/>
      <c r="N18" s="8">
        <f aca="true" t="shared" si="4" ref="N18:N23">SUM(B18:M18)</f>
        <v>21402539</v>
      </c>
      <c r="P18" s="4" t="s">
        <v>11</v>
      </c>
      <c r="Q18" s="8"/>
      <c r="R18" s="8"/>
      <c r="S18" s="8"/>
      <c r="T18" s="8">
        <v>7017</v>
      </c>
      <c r="U18" s="8">
        <v>585095</v>
      </c>
      <c r="V18" s="8">
        <v>8831382</v>
      </c>
      <c r="W18" s="8">
        <v>10804717</v>
      </c>
      <c r="X18" s="8"/>
      <c r="Y18" s="8"/>
      <c r="Z18" s="8"/>
      <c r="AA18" s="8"/>
      <c r="AB18" s="8"/>
      <c r="AC18" s="8">
        <f t="shared" si="3"/>
        <v>20228211</v>
      </c>
    </row>
    <row r="19" spans="1:29" ht="12.75">
      <c r="A19" s="4" t="s">
        <v>13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P19" s="4" t="s">
        <v>13</v>
      </c>
      <c r="Q19" s="8">
        <f>196212+310361</f>
        <v>506573</v>
      </c>
      <c r="R19" s="8">
        <f>140381+190202</f>
        <v>330583</v>
      </c>
      <c r="S19" s="8">
        <f>310976+344802</f>
        <v>655778</v>
      </c>
      <c r="T19" s="8">
        <f>215174+368244</f>
        <v>583418</v>
      </c>
      <c r="U19" s="8">
        <f>162489+343665</f>
        <v>506154</v>
      </c>
      <c r="V19" s="8">
        <f>149833+236371</f>
        <v>386204</v>
      </c>
      <c r="W19" s="8">
        <f>127724+343493</f>
        <v>471217</v>
      </c>
      <c r="X19" s="8">
        <f>291018+194324</f>
        <v>485342</v>
      </c>
      <c r="Y19" s="8"/>
      <c r="Z19" s="8"/>
      <c r="AA19" s="8"/>
      <c r="AB19" s="8"/>
      <c r="AC19" s="8">
        <f t="shared" si="3"/>
        <v>3925269</v>
      </c>
    </row>
    <row r="20" spans="1:29" ht="12.75">
      <c r="A20" s="4" t="s">
        <v>62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P20" s="4" t="s">
        <v>62</v>
      </c>
      <c r="Q20" s="8"/>
      <c r="R20" s="8"/>
      <c r="S20" s="8"/>
      <c r="T20" s="8">
        <v>413</v>
      </c>
      <c r="U20" s="8"/>
      <c r="V20" s="8"/>
      <c r="W20" s="8"/>
      <c r="X20" s="8"/>
      <c r="Y20" s="8"/>
      <c r="Z20" s="8"/>
      <c r="AA20" s="8"/>
      <c r="AB20" s="8"/>
      <c r="AC20" s="8">
        <f t="shared" si="3"/>
        <v>413</v>
      </c>
    </row>
    <row r="21" spans="1:29" ht="12.75">
      <c r="A21" s="4" t="s">
        <v>18</v>
      </c>
      <c r="B21" s="8">
        <v>1690786</v>
      </c>
      <c r="C21" s="8">
        <v>1682513</v>
      </c>
      <c r="D21" s="8">
        <v>1832577</v>
      </c>
      <c r="E21" s="8">
        <v>1480914</v>
      </c>
      <c r="F21" s="8">
        <v>1073811</v>
      </c>
      <c r="G21" s="8">
        <v>652644</v>
      </c>
      <c r="H21" s="8">
        <v>1171691</v>
      </c>
      <c r="I21" s="8">
        <v>2243238</v>
      </c>
      <c r="J21" s="8">
        <v>2580461</v>
      </c>
      <c r="K21" s="8">
        <v>2222696</v>
      </c>
      <c r="L21" s="8">
        <v>1521875</v>
      </c>
      <c r="M21" s="8">
        <v>1631441</v>
      </c>
      <c r="N21" s="8">
        <f t="shared" si="4"/>
        <v>19784647</v>
      </c>
      <c r="P21" s="4" t="s">
        <v>18</v>
      </c>
      <c r="Q21" s="8">
        <v>5250865</v>
      </c>
      <c r="R21" s="8">
        <v>2358446</v>
      </c>
      <c r="S21" s="8">
        <v>7118394</v>
      </c>
      <c r="T21" s="8">
        <v>8618875</v>
      </c>
      <c r="U21" s="8">
        <v>8744910</v>
      </c>
      <c r="V21" s="8">
        <v>9076331</v>
      </c>
      <c r="W21" s="8">
        <v>8878256</v>
      </c>
      <c r="X21" s="8">
        <v>9843882</v>
      </c>
      <c r="Y21" s="8"/>
      <c r="Z21" s="8"/>
      <c r="AA21" s="8"/>
      <c r="AB21" s="8"/>
      <c r="AC21" s="8">
        <f t="shared" si="3"/>
        <v>59889959</v>
      </c>
    </row>
    <row r="22" spans="1:29" ht="12.75">
      <c r="A22" s="4" t="s">
        <v>19</v>
      </c>
      <c r="B22" s="8">
        <v>1469710</v>
      </c>
      <c r="C22" s="8">
        <v>462043</v>
      </c>
      <c r="D22" s="8">
        <v>1868497</v>
      </c>
      <c r="E22" s="8">
        <v>1815471</v>
      </c>
      <c r="F22" s="8">
        <v>1424740</v>
      </c>
      <c r="G22" s="8">
        <v>1062411</v>
      </c>
      <c r="H22" s="8">
        <v>1010029</v>
      </c>
      <c r="I22" s="8">
        <v>1152249</v>
      </c>
      <c r="J22" s="8">
        <v>681931</v>
      </c>
      <c r="K22" s="8">
        <v>728036</v>
      </c>
      <c r="L22" s="8">
        <v>752213</v>
      </c>
      <c r="M22" s="8">
        <v>1301089</v>
      </c>
      <c r="N22" s="8">
        <f t="shared" si="4"/>
        <v>13728419</v>
      </c>
      <c r="P22" s="4" t="s">
        <v>19</v>
      </c>
      <c r="Q22" s="8">
        <v>7168504</v>
      </c>
      <c r="R22" s="8">
        <v>5364438</v>
      </c>
      <c r="S22" s="8">
        <v>10436233</v>
      </c>
      <c r="T22" s="8">
        <v>9900903</v>
      </c>
      <c r="U22" s="8">
        <v>11957702</v>
      </c>
      <c r="V22" s="8">
        <v>8099088</v>
      </c>
      <c r="W22" s="8">
        <v>8318617</v>
      </c>
      <c r="X22" s="8">
        <v>10406672</v>
      </c>
      <c r="Y22" s="8"/>
      <c r="Z22" s="8"/>
      <c r="AA22" s="8"/>
      <c r="AB22" s="8"/>
      <c r="AC22" s="8">
        <f t="shared" si="3"/>
        <v>71652157</v>
      </c>
    </row>
    <row r="23" spans="1:29" ht="12.75">
      <c r="A23" s="1" t="s">
        <v>20</v>
      </c>
      <c r="B23" s="10">
        <f aca="true" t="shared" si="5" ref="B23:M23">SUM(B17:B22)</f>
        <v>3160496</v>
      </c>
      <c r="C23" s="10">
        <f t="shared" si="5"/>
        <v>2144556</v>
      </c>
      <c r="D23" s="10">
        <f t="shared" si="5"/>
        <v>3705616</v>
      </c>
      <c r="E23" s="10">
        <f t="shared" si="5"/>
        <v>4062973</v>
      </c>
      <c r="F23" s="10">
        <f t="shared" si="5"/>
        <v>9962779</v>
      </c>
      <c r="G23" s="10">
        <f t="shared" si="5"/>
        <v>10850854</v>
      </c>
      <c r="H23" s="10">
        <f t="shared" si="5"/>
        <v>5934206</v>
      </c>
      <c r="I23" s="10">
        <f t="shared" si="5"/>
        <v>3678925</v>
      </c>
      <c r="J23" s="10">
        <f t="shared" si="5"/>
        <v>3262392</v>
      </c>
      <c r="K23" s="10">
        <f t="shared" si="5"/>
        <v>2950732</v>
      </c>
      <c r="L23" s="10">
        <f t="shared" si="5"/>
        <v>2274088</v>
      </c>
      <c r="M23" s="10">
        <f t="shared" si="5"/>
        <v>2932530</v>
      </c>
      <c r="N23" s="10">
        <f t="shared" si="4"/>
        <v>54920147</v>
      </c>
      <c r="P23" s="1" t="s">
        <v>20</v>
      </c>
      <c r="Q23" s="10">
        <f aca="true" t="shared" si="6" ref="Q23:AC23">SUM(Q17:Q22)</f>
        <v>12925942</v>
      </c>
      <c r="R23" s="10">
        <f t="shared" si="6"/>
        <v>8053467</v>
      </c>
      <c r="S23" s="10">
        <f t="shared" si="6"/>
        <v>18210405</v>
      </c>
      <c r="T23" s="10">
        <f t="shared" si="6"/>
        <v>19110626</v>
      </c>
      <c r="U23" s="10">
        <f t="shared" si="6"/>
        <v>21793861</v>
      </c>
      <c r="V23" s="10">
        <f t="shared" si="6"/>
        <v>26393005</v>
      </c>
      <c r="W23" s="10">
        <f t="shared" si="6"/>
        <v>28472807</v>
      </c>
      <c r="X23" s="10">
        <f t="shared" si="6"/>
        <v>20735896</v>
      </c>
      <c r="Y23" s="10"/>
      <c r="Z23" s="10"/>
      <c r="AA23" s="10"/>
      <c r="AB23" s="10"/>
      <c r="AC23" s="10">
        <f t="shared" si="6"/>
        <v>155696009</v>
      </c>
    </row>
    <row r="24" spans="1:16" ht="12.75">
      <c r="A24" s="5" t="s">
        <v>24</v>
      </c>
      <c r="P24" s="5" t="s">
        <v>24</v>
      </c>
    </row>
    <row r="27" spans="1:16" ht="12.75">
      <c r="A27" t="s">
        <v>71</v>
      </c>
      <c r="P27" t="s">
        <v>72</v>
      </c>
    </row>
    <row r="28" spans="1:16" ht="12.75">
      <c r="A28" t="s">
        <v>32</v>
      </c>
      <c r="P28" t="s">
        <v>32</v>
      </c>
    </row>
    <row r="29" spans="1:29" ht="12.75">
      <c r="A29" s="1" t="s">
        <v>21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28</v>
      </c>
      <c r="L29" s="2" t="s">
        <v>29</v>
      </c>
      <c r="M29" s="2" t="s">
        <v>30</v>
      </c>
      <c r="N29" s="6" t="s">
        <v>25</v>
      </c>
      <c r="P29" s="1" t="s">
        <v>21</v>
      </c>
      <c r="Q29" s="2" t="s">
        <v>0</v>
      </c>
      <c r="R29" s="2" t="s">
        <v>1</v>
      </c>
      <c r="S29" s="2" t="s">
        <v>2</v>
      </c>
      <c r="T29" s="2" t="s">
        <v>3</v>
      </c>
      <c r="U29" s="2" t="s">
        <v>4</v>
      </c>
      <c r="V29" s="2" t="s">
        <v>5</v>
      </c>
      <c r="W29" s="2" t="s">
        <v>6</v>
      </c>
      <c r="X29" s="2" t="s">
        <v>7</v>
      </c>
      <c r="Y29" s="2" t="s">
        <v>8</v>
      </c>
      <c r="Z29" s="2" t="s">
        <v>28</v>
      </c>
      <c r="AA29" s="2" t="s">
        <v>29</v>
      </c>
      <c r="AB29" s="2" t="s">
        <v>30</v>
      </c>
      <c r="AC29" s="6" t="s">
        <v>25</v>
      </c>
    </row>
    <row r="30" spans="1:29" ht="12.75">
      <c r="A30" s="4" t="s">
        <v>73</v>
      </c>
      <c r="B30" s="15"/>
      <c r="C30" s="15"/>
      <c r="D30" s="15">
        <f>D17/D4</f>
        <v>4542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4" t="s">
        <v>73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4" t="s">
        <v>11</v>
      </c>
      <c r="B31" s="15"/>
      <c r="C31" s="15"/>
      <c r="D31" s="15"/>
      <c r="E31" s="15">
        <f>E18/E5</f>
        <v>11109.971014492754</v>
      </c>
      <c r="F31" s="15">
        <f>F18/F5</f>
        <v>6682.3885407341095</v>
      </c>
      <c r="G31" s="15">
        <f>G18/G5</f>
        <v>6206.385190217391</v>
      </c>
      <c r="H31" s="15">
        <f>H18/H5</f>
        <v>6212.725165562914</v>
      </c>
      <c r="I31" s="15">
        <f>I18/I5</f>
        <v>4886.862068965517</v>
      </c>
      <c r="J31" s="15"/>
      <c r="K31" s="15"/>
      <c r="L31" s="15"/>
      <c r="M31" s="15"/>
      <c r="N31" s="15">
        <f>N18/N5</f>
        <v>6446.547891566265</v>
      </c>
      <c r="P31" s="4" t="s">
        <v>11</v>
      </c>
      <c r="Q31" s="15"/>
      <c r="R31" s="15"/>
      <c r="S31" s="15"/>
      <c r="T31" s="15">
        <v>23006.214</v>
      </c>
      <c r="U31" s="15">
        <f aca="true" t="shared" si="7" ref="R31:X32">U18/U5</f>
        <v>6158.894736842105</v>
      </c>
      <c r="V31" s="15">
        <f t="shared" si="7"/>
        <v>6371.848484848485</v>
      </c>
      <c r="W31" s="15">
        <f t="shared" si="7"/>
        <v>4866.98963963964</v>
      </c>
      <c r="X31" s="15"/>
      <c r="Y31" s="15"/>
      <c r="Z31" s="15"/>
      <c r="AA31" s="15"/>
      <c r="AB31" s="15"/>
      <c r="AC31" s="15">
        <f aca="true" t="shared" si="8" ref="AC31:AC36">AC18/AC5</f>
        <v>5465.1564718717445</v>
      </c>
    </row>
    <row r="32" spans="1:29" ht="12.75">
      <c r="A32" s="4" t="s">
        <v>13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P32" s="4" t="s">
        <v>13</v>
      </c>
      <c r="Q32" s="15">
        <f>Q19/Q6</f>
        <v>3088.859756097561</v>
      </c>
      <c r="R32" s="15">
        <f t="shared" si="7"/>
        <v>2951.6339285714284</v>
      </c>
      <c r="S32" s="15">
        <f t="shared" si="7"/>
        <v>2743.8410041841003</v>
      </c>
      <c r="T32" s="15">
        <f t="shared" si="7"/>
        <v>3007.3092783505153</v>
      </c>
      <c r="U32" s="15">
        <f t="shared" si="7"/>
        <v>2925.7456647398844</v>
      </c>
      <c r="V32" s="15">
        <f t="shared" si="7"/>
        <v>2839.735294117647</v>
      </c>
      <c r="W32" s="15">
        <f t="shared" si="7"/>
        <v>3365.8357142857144</v>
      </c>
      <c r="X32" s="15">
        <f t="shared" si="7"/>
        <v>3052.4654088050315</v>
      </c>
      <c r="Y32" s="15"/>
      <c r="Z32" s="15"/>
      <c r="AA32" s="15"/>
      <c r="AB32" s="15"/>
      <c r="AC32" s="15">
        <f t="shared" si="8"/>
        <v>2980.462414578588</v>
      </c>
    </row>
    <row r="33" spans="1:29" ht="12.75">
      <c r="A33" s="4" t="s">
        <v>62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P33" s="4" t="s">
        <v>62</v>
      </c>
      <c r="Q33" s="15"/>
      <c r="R33" s="15"/>
      <c r="S33" s="15"/>
      <c r="T33" s="15">
        <v>9380.876</v>
      </c>
      <c r="U33" s="15"/>
      <c r="V33" s="15"/>
      <c r="W33" s="15"/>
      <c r="X33" s="15"/>
      <c r="Y33" s="15"/>
      <c r="Z33" s="15"/>
      <c r="AA33" s="15"/>
      <c r="AB33" s="15"/>
      <c r="AC33" s="15">
        <f t="shared" si="8"/>
        <v>9380.876</v>
      </c>
    </row>
    <row r="34" spans="1:29" ht="12.75">
      <c r="A34" s="4" t="s">
        <v>18</v>
      </c>
      <c r="B34" s="15">
        <f aca="true" t="shared" si="9" ref="B34:N34">B21/B8</f>
        <v>8411.870646766169</v>
      </c>
      <c r="C34" s="15">
        <f t="shared" si="9"/>
        <v>7825.641860465116</v>
      </c>
      <c r="D34" s="15">
        <f t="shared" si="9"/>
        <v>8810.466346153846</v>
      </c>
      <c r="E34" s="15">
        <f t="shared" si="9"/>
        <v>7594.430769230769</v>
      </c>
      <c r="F34" s="15">
        <f t="shared" si="9"/>
        <v>7158.74</v>
      </c>
      <c r="G34" s="15">
        <f t="shared" si="9"/>
        <v>7769.571428571428</v>
      </c>
      <c r="H34" s="15">
        <f t="shared" si="9"/>
        <v>8136.743055555556</v>
      </c>
      <c r="I34" s="15">
        <f t="shared" si="9"/>
        <v>7816.160278745645</v>
      </c>
      <c r="J34" s="15">
        <f t="shared" si="9"/>
        <v>7069.756164383562</v>
      </c>
      <c r="K34" s="15">
        <f t="shared" si="9"/>
        <v>7287.527868852459</v>
      </c>
      <c r="L34" s="15">
        <f t="shared" si="9"/>
        <v>6917.613636363636</v>
      </c>
      <c r="M34" s="15">
        <f t="shared" si="9"/>
        <v>7062.515151515152</v>
      </c>
      <c r="N34" s="15">
        <f t="shared" si="9"/>
        <v>7594.874088291746</v>
      </c>
      <c r="P34" s="4" t="s">
        <v>18</v>
      </c>
      <c r="Q34" s="15">
        <f aca="true" t="shared" si="10" ref="Q34:X34">Q21/Q8</f>
        <v>3376.7620578778137</v>
      </c>
      <c r="R34" s="15">
        <f t="shared" si="10"/>
        <v>3369.2085714285713</v>
      </c>
      <c r="S34" s="15">
        <f t="shared" si="10"/>
        <v>3422.304807692308</v>
      </c>
      <c r="T34" s="15">
        <f t="shared" si="10"/>
        <v>3573.3312603648424</v>
      </c>
      <c r="U34" s="15">
        <f t="shared" si="10"/>
        <v>3566.4396411092985</v>
      </c>
      <c r="V34" s="15">
        <f t="shared" si="10"/>
        <v>3539.910686427457</v>
      </c>
      <c r="W34" s="15">
        <f t="shared" si="10"/>
        <v>3528.718600953895</v>
      </c>
      <c r="X34" s="15">
        <f t="shared" si="10"/>
        <v>3576.9920058139537</v>
      </c>
      <c r="Y34" s="15"/>
      <c r="Z34" s="15"/>
      <c r="AA34" s="15"/>
      <c r="AB34" s="15"/>
      <c r="AC34" s="15">
        <f t="shared" si="8"/>
        <v>3516.526275615055</v>
      </c>
    </row>
    <row r="35" spans="1:29" ht="12.75">
      <c r="A35" s="4" t="s">
        <v>19</v>
      </c>
      <c r="B35" s="15">
        <f aca="true" t="shared" si="11" ref="B35:N35">B22/B9</f>
        <v>6023.401639344263</v>
      </c>
      <c r="C35" s="15">
        <f t="shared" si="11"/>
        <v>5923.628205128205</v>
      </c>
      <c r="D35" s="15">
        <f t="shared" si="11"/>
        <v>6027.409677419355</v>
      </c>
      <c r="E35" s="15">
        <f t="shared" si="11"/>
        <v>6071.809364548495</v>
      </c>
      <c r="F35" s="15">
        <f t="shared" si="11"/>
        <v>6417.747747747748</v>
      </c>
      <c r="G35" s="15">
        <f t="shared" si="11"/>
        <v>6898.772727272727</v>
      </c>
      <c r="H35" s="15">
        <f t="shared" si="11"/>
        <v>6273.472049689441</v>
      </c>
      <c r="I35" s="15">
        <f t="shared" si="11"/>
        <v>6161.75935828877</v>
      </c>
      <c r="J35" s="15">
        <f t="shared" si="11"/>
        <v>6199.372727272727</v>
      </c>
      <c r="K35" s="15">
        <f t="shared" si="11"/>
        <v>6169.796610169492</v>
      </c>
      <c r="L35" s="15">
        <f t="shared" si="11"/>
        <v>6066.2338709677415</v>
      </c>
      <c r="M35" s="15">
        <f t="shared" si="11"/>
        <v>6315.966019417476</v>
      </c>
      <c r="N35" s="15">
        <f t="shared" si="11"/>
        <v>6203.533212833258</v>
      </c>
      <c r="P35" s="4" t="s">
        <v>19</v>
      </c>
      <c r="Q35" s="15">
        <f aca="true" t="shared" si="12" ref="Q35:X35">Q22/Q9</f>
        <v>3636.98833079655</v>
      </c>
      <c r="R35" s="15">
        <f t="shared" si="12"/>
        <v>3517.664262295082</v>
      </c>
      <c r="S35" s="15">
        <f t="shared" si="12"/>
        <v>3529.3314169766654</v>
      </c>
      <c r="T35" s="15">
        <f t="shared" si="12"/>
        <v>3739.0117069486405</v>
      </c>
      <c r="U35" s="15">
        <f t="shared" si="12"/>
        <v>3816.6939036067665</v>
      </c>
      <c r="V35" s="15">
        <f t="shared" si="12"/>
        <v>3661.4321880650996</v>
      </c>
      <c r="W35" s="15">
        <f t="shared" si="12"/>
        <v>3833.4640552995393</v>
      </c>
      <c r="X35" s="15">
        <f t="shared" si="12"/>
        <v>4363.384486373166</v>
      </c>
      <c r="Y35" s="15"/>
      <c r="Z35" s="15"/>
      <c r="AA35" s="15"/>
      <c r="AB35" s="15"/>
      <c r="AC35" s="15">
        <f t="shared" si="8"/>
        <v>3770.967685911268</v>
      </c>
    </row>
    <row r="36" spans="1:29" ht="12.75">
      <c r="A36" s="1" t="s">
        <v>20</v>
      </c>
      <c r="B36" s="17">
        <f aca="true" t="shared" si="13" ref="B36:N36">B23/B10</f>
        <v>7102.238202247191</v>
      </c>
      <c r="C36" s="17">
        <f t="shared" si="13"/>
        <v>7319.303754266211</v>
      </c>
      <c r="D36" s="17">
        <f t="shared" si="13"/>
        <v>7139.915221579961</v>
      </c>
      <c r="E36" s="17">
        <f t="shared" si="13"/>
        <v>7216.648312611012</v>
      </c>
      <c r="F36" s="17">
        <f t="shared" si="13"/>
        <v>6690.919408999328</v>
      </c>
      <c r="G36" s="17">
        <f t="shared" si="13"/>
        <v>6345.52865497076</v>
      </c>
      <c r="H36" s="17">
        <f t="shared" si="13"/>
        <v>6528.279427942794</v>
      </c>
      <c r="I36" s="17">
        <f t="shared" si="13"/>
        <v>6915.272556390977</v>
      </c>
      <c r="J36" s="17">
        <f t="shared" si="13"/>
        <v>6868.193684210526</v>
      </c>
      <c r="K36" s="17">
        <f t="shared" si="13"/>
        <v>6975.725768321513</v>
      </c>
      <c r="L36" s="17">
        <f t="shared" si="13"/>
        <v>6610.720930232558</v>
      </c>
      <c r="M36" s="17">
        <f t="shared" si="13"/>
        <v>6710.594965675057</v>
      </c>
      <c r="N36" s="17">
        <f t="shared" si="13"/>
        <v>6747.775770979236</v>
      </c>
      <c r="P36" s="1" t="s">
        <v>20</v>
      </c>
      <c r="Q36" s="17">
        <f aca="true" t="shared" si="14" ref="Q36:X36">Q23/Q10</f>
        <v>3502.9653116531167</v>
      </c>
      <c r="R36" s="17">
        <f t="shared" si="14"/>
        <v>3446.0706033376123</v>
      </c>
      <c r="S36" s="17">
        <f t="shared" si="14"/>
        <v>3451.555155420773</v>
      </c>
      <c r="T36" s="17">
        <f t="shared" si="14"/>
        <v>3637.1063075229445</v>
      </c>
      <c r="U36" s="17">
        <f t="shared" si="14"/>
        <v>3723.53681872544</v>
      </c>
      <c r="V36" s="17">
        <f t="shared" si="14"/>
        <v>4190.69625277866</v>
      </c>
      <c r="W36" s="17">
        <f t="shared" si="14"/>
        <v>4040.9887879648027</v>
      </c>
      <c r="X36" s="17">
        <f t="shared" si="14"/>
        <v>3915.3882175226586</v>
      </c>
      <c r="Y36" s="17"/>
      <c r="Z36" s="17"/>
      <c r="AA36" s="17"/>
      <c r="AB36" s="17"/>
      <c r="AC36" s="17">
        <f t="shared" si="8"/>
        <v>3792.8059731017274</v>
      </c>
    </row>
    <row r="37" spans="1:16" ht="12.75">
      <c r="A37" s="5" t="s">
        <v>24</v>
      </c>
      <c r="P37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74</v>
      </c>
      <c r="P1" t="s">
        <v>75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</row>
    <row r="4" spans="1:29" ht="12.75">
      <c r="A4" s="4" t="s">
        <v>76</v>
      </c>
      <c r="B4" s="20"/>
      <c r="C4" s="20"/>
      <c r="D4" s="20"/>
      <c r="E4" s="20"/>
      <c r="F4" s="20"/>
      <c r="G4" s="20"/>
      <c r="H4" s="20"/>
      <c r="I4" s="20"/>
      <c r="J4" s="20"/>
      <c r="K4" s="8"/>
      <c r="L4" s="8"/>
      <c r="M4" s="8"/>
      <c r="N4" s="8"/>
      <c r="P4" s="4" t="s">
        <v>76</v>
      </c>
      <c r="Q4" s="22"/>
      <c r="R4" s="22"/>
      <c r="S4" s="22">
        <f>14+18+18</f>
        <v>50</v>
      </c>
      <c r="T4" s="22">
        <v>18</v>
      </c>
      <c r="U4" s="22"/>
      <c r="V4" s="22">
        <v>36</v>
      </c>
      <c r="W4" s="22">
        <v>5</v>
      </c>
      <c r="X4" s="22">
        <v>7</v>
      </c>
      <c r="Y4" s="22">
        <v>33</v>
      </c>
      <c r="Z4" s="8"/>
      <c r="AA4" s="8">
        <v>3</v>
      </c>
      <c r="AB4" s="8"/>
      <c r="AC4" s="8">
        <f>SUM(Q4:AB4)</f>
        <v>152</v>
      </c>
    </row>
    <row r="5" spans="1:29" ht="12.75">
      <c r="A5" s="4" t="s">
        <v>63</v>
      </c>
      <c r="B5" s="22"/>
      <c r="C5" s="22"/>
      <c r="D5" s="22"/>
      <c r="E5" s="22"/>
      <c r="F5" s="8"/>
      <c r="G5" s="8"/>
      <c r="H5" s="22"/>
      <c r="I5" s="22"/>
      <c r="J5" s="20"/>
      <c r="K5" s="8"/>
      <c r="L5" s="8"/>
      <c r="M5" s="8"/>
      <c r="N5" s="8"/>
      <c r="P5" s="4" t="s">
        <v>63</v>
      </c>
      <c r="Q5" s="20"/>
      <c r="R5" s="20"/>
      <c r="S5" s="20"/>
      <c r="T5" s="20"/>
      <c r="U5" s="8"/>
      <c r="V5" s="8"/>
      <c r="W5" s="8">
        <v>6</v>
      </c>
      <c r="X5" s="8"/>
      <c r="Y5" s="20"/>
      <c r="Z5" s="8"/>
      <c r="AA5" s="8"/>
      <c r="AB5" s="8"/>
      <c r="AC5" s="8">
        <f aca="true" t="shared" si="0" ref="AC5:AC11">SUM(Q5:AB5)</f>
        <v>6</v>
      </c>
    </row>
    <row r="6" spans="1:29" ht="12.75">
      <c r="A6" s="4" t="s">
        <v>11</v>
      </c>
      <c r="B6" s="22"/>
      <c r="C6" s="22"/>
      <c r="D6" s="22"/>
      <c r="E6" s="22"/>
      <c r="F6" s="22"/>
      <c r="G6" s="22"/>
      <c r="H6" s="22"/>
      <c r="I6" s="22"/>
      <c r="J6" s="20"/>
      <c r="K6" s="8"/>
      <c r="L6" s="8"/>
      <c r="M6" s="8"/>
      <c r="N6" s="8"/>
      <c r="P6" s="4" t="s">
        <v>11</v>
      </c>
      <c r="Q6" s="8">
        <v>18</v>
      </c>
      <c r="R6" s="8">
        <v>35</v>
      </c>
      <c r="S6" s="8"/>
      <c r="T6" s="8"/>
      <c r="U6" s="8"/>
      <c r="V6" s="8"/>
      <c r="W6" s="8"/>
      <c r="X6" s="8">
        <v>3</v>
      </c>
      <c r="Y6" s="20"/>
      <c r="Z6" s="8"/>
      <c r="AA6" s="8"/>
      <c r="AB6" s="8"/>
      <c r="AC6" s="8">
        <f t="shared" si="0"/>
        <v>56</v>
      </c>
    </row>
    <row r="7" spans="1:29" ht="12.75">
      <c r="A7" s="4" t="s">
        <v>12</v>
      </c>
      <c r="B7" s="22"/>
      <c r="C7" s="22"/>
      <c r="D7" s="22"/>
      <c r="E7" s="22"/>
      <c r="F7" s="22"/>
      <c r="G7" s="22"/>
      <c r="H7" s="22"/>
      <c r="I7" s="22"/>
      <c r="J7" s="8">
        <v>11</v>
      </c>
      <c r="K7" s="8"/>
      <c r="L7" s="8"/>
      <c r="M7" s="8"/>
      <c r="N7" s="8">
        <f>SUM(B7:M7)</f>
        <v>11</v>
      </c>
      <c r="P7" s="4" t="s">
        <v>12</v>
      </c>
      <c r="Q7" s="8"/>
      <c r="R7" s="8"/>
      <c r="S7" s="8">
        <v>1</v>
      </c>
      <c r="T7" s="20"/>
      <c r="U7" s="8"/>
      <c r="V7" s="8"/>
      <c r="W7" s="8"/>
      <c r="X7" s="8"/>
      <c r="Y7" s="20"/>
      <c r="Z7" s="8"/>
      <c r="AA7" s="8"/>
      <c r="AB7" s="8"/>
      <c r="AC7" s="8">
        <f t="shared" si="0"/>
        <v>1</v>
      </c>
    </row>
    <row r="8" spans="1:29" ht="12.75">
      <c r="A8" s="4" t="s">
        <v>77</v>
      </c>
      <c r="B8" s="22"/>
      <c r="C8" s="22"/>
      <c r="D8" s="22">
        <v>49</v>
      </c>
      <c r="E8" s="22">
        <v>2</v>
      </c>
      <c r="F8" s="22"/>
      <c r="G8" s="22"/>
      <c r="H8" s="22"/>
      <c r="I8" s="22"/>
      <c r="J8" s="20"/>
      <c r="K8" s="8"/>
      <c r="L8" s="8"/>
      <c r="M8" s="8"/>
      <c r="N8" s="8">
        <f>SUM(B8:M8)</f>
        <v>51</v>
      </c>
      <c r="P8" s="4" t="s">
        <v>77</v>
      </c>
      <c r="Q8" s="8">
        <v>39</v>
      </c>
      <c r="R8" s="8">
        <v>38</v>
      </c>
      <c r="S8" s="8">
        <v>114</v>
      </c>
      <c r="T8" s="20">
        <v>58</v>
      </c>
      <c r="U8" s="8">
        <v>132</v>
      </c>
      <c r="V8" s="8">
        <v>61</v>
      </c>
      <c r="W8" s="8">
        <v>73</v>
      </c>
      <c r="X8" s="8">
        <v>95</v>
      </c>
      <c r="Y8" s="22">
        <v>57</v>
      </c>
      <c r="Z8" s="8">
        <v>127</v>
      </c>
      <c r="AA8" s="8">
        <v>181</v>
      </c>
      <c r="AB8" s="8">
        <v>189</v>
      </c>
      <c r="AC8" s="8">
        <f t="shared" si="0"/>
        <v>1164</v>
      </c>
    </row>
    <row r="9" spans="1:29" ht="12.75">
      <c r="A9" s="4" t="s">
        <v>18</v>
      </c>
      <c r="B9" s="8">
        <v>1073</v>
      </c>
      <c r="C9" s="8">
        <v>733</v>
      </c>
      <c r="D9" s="8">
        <v>1043</v>
      </c>
      <c r="E9" s="8">
        <v>1112</v>
      </c>
      <c r="F9" s="8">
        <v>1113</v>
      </c>
      <c r="G9" s="8">
        <v>1320</v>
      </c>
      <c r="H9" s="8">
        <v>1204</v>
      </c>
      <c r="I9" s="8">
        <v>1337</v>
      </c>
      <c r="J9" s="8">
        <v>1407</v>
      </c>
      <c r="K9" s="8">
        <v>1259</v>
      </c>
      <c r="L9" s="8">
        <v>1178</v>
      </c>
      <c r="M9" s="8">
        <v>1628</v>
      </c>
      <c r="N9" s="8">
        <f>SUM(B9:M9)</f>
        <v>14407</v>
      </c>
      <c r="P9" s="4" t="s">
        <v>18</v>
      </c>
      <c r="Q9" s="8">
        <v>6933</v>
      </c>
      <c r="R9" s="8">
        <v>3196</v>
      </c>
      <c r="S9" s="8">
        <v>4817</v>
      </c>
      <c r="T9" s="8">
        <v>4488</v>
      </c>
      <c r="U9" s="8">
        <v>4214</v>
      </c>
      <c r="V9" s="8">
        <v>4204</v>
      </c>
      <c r="W9" s="8">
        <v>4121</v>
      </c>
      <c r="X9" s="8">
        <v>5638</v>
      </c>
      <c r="Y9" s="8">
        <v>5724</v>
      </c>
      <c r="Z9" s="8">
        <v>6296</v>
      </c>
      <c r="AA9" s="8">
        <v>6161</v>
      </c>
      <c r="AB9" s="8">
        <v>5721</v>
      </c>
      <c r="AC9" s="8">
        <f t="shared" si="0"/>
        <v>61513</v>
      </c>
    </row>
    <row r="10" spans="1:29" ht="12.75">
      <c r="A10" s="4" t="s">
        <v>19</v>
      </c>
      <c r="B10" s="22">
        <v>47</v>
      </c>
      <c r="C10" s="21">
        <v>58</v>
      </c>
      <c r="D10" s="22">
        <v>84</v>
      </c>
      <c r="E10" s="22">
        <v>88</v>
      </c>
      <c r="F10" s="22">
        <v>57</v>
      </c>
      <c r="G10" s="22">
        <v>67</v>
      </c>
      <c r="H10" s="22">
        <v>64</v>
      </c>
      <c r="I10" s="22">
        <v>56</v>
      </c>
      <c r="J10" s="8">
        <v>20</v>
      </c>
      <c r="K10" s="8">
        <v>71</v>
      </c>
      <c r="L10" s="8">
        <v>39</v>
      </c>
      <c r="M10" s="8">
        <v>93</v>
      </c>
      <c r="N10" s="8">
        <f>SUM(B10:M10)</f>
        <v>744</v>
      </c>
      <c r="P10" s="4" t="s">
        <v>19</v>
      </c>
      <c r="Q10" s="8">
        <v>2598</v>
      </c>
      <c r="R10" s="25">
        <v>2253</v>
      </c>
      <c r="S10" s="8">
        <v>2702</v>
      </c>
      <c r="T10" s="8">
        <v>2293</v>
      </c>
      <c r="U10" s="8">
        <v>2414</v>
      </c>
      <c r="V10" s="8">
        <v>2173</v>
      </c>
      <c r="W10" s="8">
        <v>2755</v>
      </c>
      <c r="X10" s="8">
        <v>2498</v>
      </c>
      <c r="Y10" s="8">
        <v>2051</v>
      </c>
      <c r="Z10" s="8">
        <v>1461</v>
      </c>
      <c r="AA10" s="8">
        <v>1106</v>
      </c>
      <c r="AB10" s="8">
        <v>1500</v>
      </c>
      <c r="AC10" s="8">
        <f t="shared" si="0"/>
        <v>25804</v>
      </c>
    </row>
    <row r="11" spans="1:29" ht="12.75">
      <c r="A11" s="1" t="s">
        <v>20</v>
      </c>
      <c r="B11" s="10">
        <f aca="true" t="shared" si="1" ref="B11:J11">SUM(B4:B10)</f>
        <v>1120</v>
      </c>
      <c r="C11" s="10">
        <f t="shared" si="1"/>
        <v>791</v>
      </c>
      <c r="D11" s="10">
        <f t="shared" si="1"/>
        <v>1176</v>
      </c>
      <c r="E11" s="10">
        <f t="shared" si="1"/>
        <v>1202</v>
      </c>
      <c r="F11" s="10">
        <f t="shared" si="1"/>
        <v>1170</v>
      </c>
      <c r="G11" s="10">
        <f t="shared" si="1"/>
        <v>1387</v>
      </c>
      <c r="H11" s="10">
        <f t="shared" si="1"/>
        <v>1268</v>
      </c>
      <c r="I11" s="10">
        <f t="shared" si="1"/>
        <v>1393</v>
      </c>
      <c r="J11" s="10">
        <f t="shared" si="1"/>
        <v>1438</v>
      </c>
      <c r="K11" s="10">
        <f>SUM(K4:K10)</f>
        <v>1330</v>
      </c>
      <c r="L11" s="10">
        <f>SUM(L4:L10)</f>
        <v>1217</v>
      </c>
      <c r="M11" s="10">
        <f>SUM(M4:M10)</f>
        <v>1721</v>
      </c>
      <c r="N11" s="10">
        <f>SUM(B11:M11)</f>
        <v>15213</v>
      </c>
      <c r="P11" s="1" t="s">
        <v>20</v>
      </c>
      <c r="Q11" s="10">
        <f aca="true" t="shared" si="2" ref="Q11:Y11">SUM(Q4:Q10)</f>
        <v>9588</v>
      </c>
      <c r="R11" s="10">
        <f t="shared" si="2"/>
        <v>5522</v>
      </c>
      <c r="S11" s="10">
        <f t="shared" si="2"/>
        <v>7684</v>
      </c>
      <c r="T11" s="10">
        <f t="shared" si="2"/>
        <v>6857</v>
      </c>
      <c r="U11" s="10">
        <f t="shared" si="2"/>
        <v>6760</v>
      </c>
      <c r="V11" s="10">
        <f t="shared" si="2"/>
        <v>6474</v>
      </c>
      <c r="W11" s="10">
        <f t="shared" si="2"/>
        <v>6960</v>
      </c>
      <c r="X11" s="10">
        <f t="shared" si="2"/>
        <v>8241</v>
      </c>
      <c r="Y11" s="10">
        <f t="shared" si="2"/>
        <v>7865</v>
      </c>
      <c r="Z11" s="10">
        <f>SUM(Z4:Z10)</f>
        <v>7884</v>
      </c>
      <c r="AA11" s="10">
        <f>SUM(AA4:AA10)</f>
        <v>7451</v>
      </c>
      <c r="AB11" s="10">
        <f>SUM(AB4:AB10)</f>
        <v>7410</v>
      </c>
      <c r="AC11" s="10">
        <f t="shared" si="0"/>
        <v>88696</v>
      </c>
    </row>
    <row r="12" spans="1:16" ht="12.75">
      <c r="A12" s="5" t="s">
        <v>24</v>
      </c>
      <c r="P12" s="5" t="s">
        <v>24</v>
      </c>
    </row>
    <row r="14" spans="1:16" ht="12.75">
      <c r="A14" t="s">
        <v>74</v>
      </c>
      <c r="P14" t="s">
        <v>75</v>
      </c>
    </row>
    <row r="15" spans="1:16" ht="12.75">
      <c r="A15" t="s">
        <v>31</v>
      </c>
      <c r="P15" t="s">
        <v>31</v>
      </c>
    </row>
    <row r="16" spans="1:29" ht="12.75">
      <c r="A16" s="1" t="s">
        <v>21</v>
      </c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28</v>
      </c>
      <c r="L16" s="2" t="s">
        <v>29</v>
      </c>
      <c r="M16" s="2" t="s">
        <v>30</v>
      </c>
      <c r="N16" s="6" t="s">
        <v>25</v>
      </c>
      <c r="P16" s="1" t="s">
        <v>21</v>
      </c>
      <c r="Q16" s="2" t="s">
        <v>0</v>
      </c>
      <c r="R16" s="2" t="s">
        <v>1</v>
      </c>
      <c r="S16" s="2" t="s">
        <v>2</v>
      </c>
      <c r="T16" s="2" t="s">
        <v>3</v>
      </c>
      <c r="U16" s="2" t="s">
        <v>4</v>
      </c>
      <c r="V16" s="2" t="s">
        <v>5</v>
      </c>
      <c r="W16" s="2" t="s">
        <v>6</v>
      </c>
      <c r="X16" s="2" t="s">
        <v>7</v>
      </c>
      <c r="Y16" s="2" t="s">
        <v>8</v>
      </c>
      <c r="Z16" s="2" t="s">
        <v>28</v>
      </c>
      <c r="AA16" s="2" t="s">
        <v>29</v>
      </c>
      <c r="AB16" s="2" t="s">
        <v>30</v>
      </c>
      <c r="AC16" s="6" t="s">
        <v>25</v>
      </c>
    </row>
    <row r="17" spans="1:29" ht="12.75">
      <c r="A17" s="4" t="s">
        <v>76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P17" s="4" t="s">
        <v>76</v>
      </c>
      <c r="Q17" s="8"/>
      <c r="R17" s="8"/>
      <c r="S17" s="8">
        <f>75062+44799+53138</f>
        <v>172999</v>
      </c>
      <c r="T17" s="8">
        <v>28903</v>
      </c>
      <c r="U17" s="8"/>
      <c r="V17" s="8">
        <v>62927</v>
      </c>
      <c r="W17" s="8">
        <f>16152+1862</f>
        <v>18014</v>
      </c>
      <c r="X17" s="8">
        <v>22720</v>
      </c>
      <c r="Y17" s="8">
        <v>100656</v>
      </c>
      <c r="Z17" s="8"/>
      <c r="AA17" s="8">
        <v>10240</v>
      </c>
      <c r="AB17" s="8"/>
      <c r="AC17" s="8">
        <f>SUM(Q17:AB17)</f>
        <v>416459</v>
      </c>
    </row>
    <row r="18" spans="1:29" ht="12.75">
      <c r="A18" s="4" t="s">
        <v>63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P18" s="4" t="s">
        <v>63</v>
      </c>
      <c r="Q18" s="8"/>
      <c r="R18" s="8"/>
      <c r="S18" s="8"/>
      <c r="T18" s="8"/>
      <c r="U18" s="8"/>
      <c r="V18" s="8"/>
      <c r="W18" s="8">
        <v>24814</v>
      </c>
      <c r="X18" s="8"/>
      <c r="Y18" s="8"/>
      <c r="Z18" s="8"/>
      <c r="AA18" s="8"/>
      <c r="AB18" s="8"/>
      <c r="AC18" s="8">
        <f aca="true" t="shared" si="3" ref="AC18:AC23">SUM(Q18:AB18)</f>
        <v>24814</v>
      </c>
    </row>
    <row r="19" spans="1:29" ht="12.75">
      <c r="A19" s="4" t="s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P19" s="4" t="s">
        <v>11</v>
      </c>
      <c r="Q19" s="8">
        <v>73190</v>
      </c>
      <c r="R19" s="8">
        <v>109644</v>
      </c>
      <c r="S19" s="8"/>
      <c r="T19" s="8"/>
      <c r="U19" s="8"/>
      <c r="V19" s="8"/>
      <c r="W19" s="8"/>
      <c r="X19" s="8">
        <v>9589</v>
      </c>
      <c r="Y19" s="8"/>
      <c r="Z19" s="8"/>
      <c r="AA19" s="8"/>
      <c r="AB19" s="8"/>
      <c r="AC19" s="8">
        <f t="shared" si="3"/>
        <v>192423</v>
      </c>
    </row>
    <row r="20" spans="1:29" ht="12.75">
      <c r="A20" s="4" t="s">
        <v>12</v>
      </c>
      <c r="B20" s="8"/>
      <c r="C20" s="8"/>
      <c r="D20" s="8"/>
      <c r="E20" s="8"/>
      <c r="F20" s="8"/>
      <c r="G20" s="8"/>
      <c r="H20" s="8"/>
      <c r="I20" s="8"/>
      <c r="J20" s="8">
        <v>65878</v>
      </c>
      <c r="K20" s="8"/>
      <c r="L20" s="8"/>
      <c r="M20" s="8"/>
      <c r="N20" s="8">
        <f>SUM(B20:M20)</f>
        <v>65878</v>
      </c>
      <c r="P20" s="4" t="s">
        <v>12</v>
      </c>
      <c r="Q20" s="8"/>
      <c r="R20" s="8"/>
      <c r="S20" s="8">
        <v>7507</v>
      </c>
      <c r="T20" s="8"/>
      <c r="U20" s="8"/>
      <c r="V20" s="8"/>
      <c r="W20" s="8"/>
      <c r="X20" s="8"/>
      <c r="Y20" s="8"/>
      <c r="Z20" s="8"/>
      <c r="AA20" s="8"/>
      <c r="AB20" s="8"/>
      <c r="AC20" s="8">
        <f t="shared" si="3"/>
        <v>7507</v>
      </c>
    </row>
    <row r="21" spans="1:29" ht="12.75">
      <c r="A21" s="4" t="s">
        <v>77</v>
      </c>
      <c r="B21" s="8"/>
      <c r="C21" s="8"/>
      <c r="D21" s="8">
        <v>306981</v>
      </c>
      <c r="E21" s="8">
        <v>10875</v>
      </c>
      <c r="F21" s="8"/>
      <c r="G21" s="8"/>
      <c r="H21" s="8"/>
      <c r="I21" s="8"/>
      <c r="J21" s="8"/>
      <c r="K21" s="8"/>
      <c r="L21" s="8"/>
      <c r="M21" s="8"/>
      <c r="N21" s="8">
        <f>SUM(B21:M21)</f>
        <v>317856</v>
      </c>
      <c r="P21" s="4" t="s">
        <v>77</v>
      </c>
      <c r="Q21" s="8">
        <v>139508</v>
      </c>
      <c r="R21" s="8">
        <v>173416</v>
      </c>
      <c r="S21" s="8">
        <v>544509</v>
      </c>
      <c r="T21" s="8">
        <v>298649</v>
      </c>
      <c r="U21" s="8">
        <v>1109605</v>
      </c>
      <c r="V21" s="8">
        <v>322874</v>
      </c>
      <c r="W21" s="8">
        <v>345586</v>
      </c>
      <c r="X21" s="8">
        <v>329787</v>
      </c>
      <c r="Y21" s="8">
        <v>249809</v>
      </c>
      <c r="Z21" s="8">
        <v>576181</v>
      </c>
      <c r="AA21" s="8">
        <f>1056613+41620</f>
        <v>1098233</v>
      </c>
      <c r="AB21" s="8">
        <v>933855</v>
      </c>
      <c r="AC21" s="8">
        <f t="shared" si="3"/>
        <v>6122012</v>
      </c>
    </row>
    <row r="22" spans="1:29" ht="12.75">
      <c r="A22" s="4" t="s">
        <v>18</v>
      </c>
      <c r="B22" s="8">
        <v>7348595</v>
      </c>
      <c r="C22" s="8">
        <v>5290733</v>
      </c>
      <c r="D22" s="8">
        <v>7573219</v>
      </c>
      <c r="E22" s="8">
        <v>7667649</v>
      </c>
      <c r="F22" s="8">
        <v>7599441</v>
      </c>
      <c r="G22" s="8">
        <v>8860045</v>
      </c>
      <c r="H22" s="8">
        <v>8088187</v>
      </c>
      <c r="I22" s="8">
        <v>8855456</v>
      </c>
      <c r="J22" s="8">
        <v>9223080</v>
      </c>
      <c r="K22" s="8">
        <v>8717114</v>
      </c>
      <c r="L22" s="8">
        <f>7927022+8726</f>
        <v>7935748</v>
      </c>
      <c r="M22" s="8">
        <f>7491+11413675</f>
        <v>11421166</v>
      </c>
      <c r="N22" s="8">
        <f>SUM(B22:M22)</f>
        <v>98580433</v>
      </c>
      <c r="P22" s="4" t="s">
        <v>18</v>
      </c>
      <c r="Q22" s="8">
        <v>25852650</v>
      </c>
      <c r="R22" s="8">
        <v>12251784</v>
      </c>
      <c r="S22" s="8">
        <v>17849500</v>
      </c>
      <c r="T22" s="8">
        <v>17430150</v>
      </c>
      <c r="U22" s="8">
        <v>15825663</v>
      </c>
      <c r="V22" s="8">
        <v>15766632</v>
      </c>
      <c r="W22" s="8">
        <v>15024791</v>
      </c>
      <c r="X22" s="8">
        <v>20725254</v>
      </c>
      <c r="Y22" s="8">
        <v>20627272</v>
      </c>
      <c r="Z22" s="8">
        <v>22783143</v>
      </c>
      <c r="AA22" s="8">
        <v>22410306</v>
      </c>
      <c r="AB22" s="8">
        <v>20737825</v>
      </c>
      <c r="AC22" s="8">
        <f t="shared" si="3"/>
        <v>227284970</v>
      </c>
    </row>
    <row r="23" spans="1:29" ht="12.75">
      <c r="A23" s="4" t="s">
        <v>19</v>
      </c>
      <c r="B23" s="8">
        <v>248027</v>
      </c>
      <c r="C23" s="8">
        <v>271440</v>
      </c>
      <c r="D23" s="8">
        <v>473013</v>
      </c>
      <c r="E23" s="8">
        <v>477594</v>
      </c>
      <c r="F23" s="8">
        <v>335715</v>
      </c>
      <c r="G23" s="8">
        <v>342978</v>
      </c>
      <c r="H23" s="8">
        <v>356010</v>
      </c>
      <c r="I23" s="8">
        <v>348455</v>
      </c>
      <c r="J23" s="8">
        <v>122105</v>
      </c>
      <c r="K23" s="8">
        <v>435395</v>
      </c>
      <c r="L23" s="8">
        <v>243757</v>
      </c>
      <c r="M23" s="8">
        <v>539868</v>
      </c>
      <c r="N23" s="8">
        <f>SUM(B23:M23)</f>
        <v>4194357</v>
      </c>
      <c r="P23" s="4" t="s">
        <v>19</v>
      </c>
      <c r="Q23" s="8">
        <v>9077793</v>
      </c>
      <c r="R23" s="8">
        <v>8081392</v>
      </c>
      <c r="S23" s="8">
        <v>9687394</v>
      </c>
      <c r="T23" s="8">
        <v>7984305</v>
      </c>
      <c r="U23" s="8">
        <v>8012592</v>
      </c>
      <c r="V23" s="8">
        <v>7524814</v>
      </c>
      <c r="W23" s="8">
        <v>9049157</v>
      </c>
      <c r="X23" s="8">
        <v>8208071</v>
      </c>
      <c r="Y23" s="8">
        <v>6665360</v>
      </c>
      <c r="Z23" s="8">
        <v>5438527</v>
      </c>
      <c r="AA23" s="8">
        <v>3738888</v>
      </c>
      <c r="AB23" s="8">
        <v>4937751</v>
      </c>
      <c r="AC23" s="8">
        <f t="shared" si="3"/>
        <v>88406044</v>
      </c>
    </row>
    <row r="24" spans="1:29" ht="12.75">
      <c r="A24" s="1" t="s">
        <v>20</v>
      </c>
      <c r="B24" s="10">
        <f aca="true" t="shared" si="4" ref="B24:J24">SUM(B17:B23)</f>
        <v>7596622</v>
      </c>
      <c r="C24" s="10">
        <f t="shared" si="4"/>
        <v>5562173</v>
      </c>
      <c r="D24" s="10">
        <f t="shared" si="4"/>
        <v>8353213</v>
      </c>
      <c r="E24" s="10">
        <f t="shared" si="4"/>
        <v>8156118</v>
      </c>
      <c r="F24" s="10">
        <f t="shared" si="4"/>
        <v>7935156</v>
      </c>
      <c r="G24" s="10">
        <f t="shared" si="4"/>
        <v>9203023</v>
      </c>
      <c r="H24" s="10">
        <f t="shared" si="4"/>
        <v>8444197</v>
      </c>
      <c r="I24" s="10">
        <f t="shared" si="4"/>
        <v>9203911</v>
      </c>
      <c r="J24" s="10">
        <f t="shared" si="4"/>
        <v>9411063</v>
      </c>
      <c r="K24" s="10">
        <f>SUM(K17:K23)</f>
        <v>9152509</v>
      </c>
      <c r="L24" s="10">
        <f>SUM(L17:L23)</f>
        <v>8179505</v>
      </c>
      <c r="M24" s="10">
        <f>SUM(M17:M23)</f>
        <v>11961034</v>
      </c>
      <c r="N24" s="10">
        <f>SUM(B24:M24)</f>
        <v>103158524</v>
      </c>
      <c r="P24" s="1" t="s">
        <v>20</v>
      </c>
      <c r="Q24" s="10">
        <f aca="true" t="shared" si="5" ref="Q24:Y24">SUM(Q17:Q23)</f>
        <v>35143141</v>
      </c>
      <c r="R24" s="10">
        <f t="shared" si="5"/>
        <v>20616236</v>
      </c>
      <c r="S24" s="10">
        <f t="shared" si="5"/>
        <v>28261909</v>
      </c>
      <c r="T24" s="10">
        <f t="shared" si="5"/>
        <v>25742007</v>
      </c>
      <c r="U24" s="10">
        <f t="shared" si="5"/>
        <v>24947860</v>
      </c>
      <c r="V24" s="10">
        <f t="shared" si="5"/>
        <v>23677247</v>
      </c>
      <c r="W24" s="10">
        <f t="shared" si="5"/>
        <v>24462362</v>
      </c>
      <c r="X24" s="10">
        <f t="shared" si="5"/>
        <v>29295421</v>
      </c>
      <c r="Y24" s="10">
        <f t="shared" si="5"/>
        <v>27643097</v>
      </c>
      <c r="Z24" s="10">
        <f>SUM(Z17:Z23)</f>
        <v>28797851</v>
      </c>
      <c r="AA24" s="10">
        <f>SUM(AA17:AA23)</f>
        <v>27257667</v>
      </c>
      <c r="AB24" s="10">
        <f>SUM(AB17:AB23)</f>
        <v>26609431</v>
      </c>
      <c r="AC24" s="10">
        <f>SUM(AC17:AC23)</f>
        <v>322454229</v>
      </c>
    </row>
    <row r="25" spans="1:16" ht="12.75">
      <c r="A25" s="5" t="s">
        <v>24</v>
      </c>
      <c r="P25" s="5" t="s">
        <v>24</v>
      </c>
    </row>
    <row r="27" spans="1:16" ht="12.75">
      <c r="A27" t="s">
        <v>74</v>
      </c>
      <c r="P27" t="s">
        <v>75</v>
      </c>
    </row>
    <row r="28" spans="1:16" ht="12.75">
      <c r="A28" t="s">
        <v>32</v>
      </c>
      <c r="P28" t="s">
        <v>32</v>
      </c>
    </row>
    <row r="29" spans="1:29" ht="12.75">
      <c r="A29" s="1" t="s">
        <v>21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28</v>
      </c>
      <c r="L29" s="2" t="s">
        <v>29</v>
      </c>
      <c r="M29" s="2" t="s">
        <v>30</v>
      </c>
      <c r="N29" s="6" t="s">
        <v>25</v>
      </c>
      <c r="P29" s="1" t="s">
        <v>21</v>
      </c>
      <c r="Q29" s="2" t="s">
        <v>0</v>
      </c>
      <c r="R29" s="2" t="s">
        <v>1</v>
      </c>
      <c r="S29" s="2" t="s">
        <v>2</v>
      </c>
      <c r="T29" s="2" t="s">
        <v>3</v>
      </c>
      <c r="U29" s="2" t="s">
        <v>4</v>
      </c>
      <c r="V29" s="2" t="s">
        <v>5</v>
      </c>
      <c r="W29" s="2" t="s">
        <v>6</v>
      </c>
      <c r="X29" s="2" t="s">
        <v>7</v>
      </c>
      <c r="Y29" s="2" t="s">
        <v>8</v>
      </c>
      <c r="Z29" s="2" t="s">
        <v>28</v>
      </c>
      <c r="AA29" s="2" t="s">
        <v>29</v>
      </c>
      <c r="AB29" s="2" t="s">
        <v>30</v>
      </c>
      <c r="AC29" s="6" t="s">
        <v>25</v>
      </c>
    </row>
    <row r="30" spans="1:29" ht="12.75">
      <c r="A30" s="4" t="s">
        <v>76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4" t="s">
        <v>76</v>
      </c>
      <c r="Q30" s="15"/>
      <c r="R30" s="15"/>
      <c r="S30" s="15">
        <f>S17/S4</f>
        <v>3459.98</v>
      </c>
      <c r="T30" s="15">
        <f>T17/T4</f>
        <v>1605.7222222222222</v>
      </c>
      <c r="U30" s="15"/>
      <c r="V30" s="15">
        <f>V17/V4</f>
        <v>1747.9722222222222</v>
      </c>
      <c r="W30" s="15">
        <f>W17/W4</f>
        <v>3602.8</v>
      </c>
      <c r="X30" s="15">
        <f>X17/X4</f>
        <v>3245.714285714286</v>
      </c>
      <c r="Y30" s="15">
        <f>Y17/Y4</f>
        <v>3050.181818181818</v>
      </c>
      <c r="Z30" s="15"/>
      <c r="AA30" s="15">
        <f>AA17/AA4</f>
        <v>3413.3333333333335</v>
      </c>
      <c r="AB30" s="15"/>
      <c r="AC30" s="15">
        <f aca="true" t="shared" si="6" ref="AC30:AC37">AC17/AC4</f>
        <v>2739.8618421052633</v>
      </c>
    </row>
    <row r="31" spans="1:29" ht="12.75">
      <c r="A31" s="4" t="s">
        <v>63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4" t="s">
        <v>63</v>
      </c>
      <c r="Q31" s="15"/>
      <c r="R31" s="15"/>
      <c r="S31" s="15"/>
      <c r="T31" s="15"/>
      <c r="U31" s="15"/>
      <c r="V31" s="15"/>
      <c r="W31" s="15">
        <f>W18/W5</f>
        <v>4135.666666666667</v>
      </c>
      <c r="X31" s="15"/>
      <c r="Y31" s="15"/>
      <c r="Z31" s="15"/>
      <c r="AA31" s="15"/>
      <c r="AB31" s="15"/>
      <c r="AC31" s="15">
        <f t="shared" si="6"/>
        <v>4135.666666666667</v>
      </c>
    </row>
    <row r="32" spans="1:29" ht="12.75">
      <c r="A32" s="4" t="s">
        <v>11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P32" s="4" t="s">
        <v>11</v>
      </c>
      <c r="Q32" s="15">
        <f>Q19/Q6</f>
        <v>4066.1111111111113</v>
      </c>
      <c r="R32" s="15">
        <f>R19/R6</f>
        <v>3132.6857142857143</v>
      </c>
      <c r="S32" s="15"/>
      <c r="T32" s="15"/>
      <c r="U32" s="15"/>
      <c r="V32" s="15"/>
      <c r="W32" s="15"/>
      <c r="X32" s="15">
        <f>X19/X6</f>
        <v>3196.3333333333335</v>
      </c>
      <c r="Y32" s="15"/>
      <c r="Z32" s="15"/>
      <c r="AA32" s="15"/>
      <c r="AB32" s="15"/>
      <c r="AC32" s="15">
        <f t="shared" si="6"/>
        <v>3436.125</v>
      </c>
    </row>
    <row r="33" spans="1:29" ht="12.75">
      <c r="A33" s="4" t="s">
        <v>12</v>
      </c>
      <c r="B33" s="15"/>
      <c r="C33" s="15"/>
      <c r="D33" s="15"/>
      <c r="E33" s="15"/>
      <c r="F33" s="15"/>
      <c r="G33" s="15"/>
      <c r="H33" s="15"/>
      <c r="I33" s="15"/>
      <c r="J33" s="15">
        <f>J20/J7</f>
        <v>5988.909090909091</v>
      </c>
      <c r="K33" s="15"/>
      <c r="L33" s="15"/>
      <c r="M33" s="15"/>
      <c r="N33" s="15">
        <f>N20/N7</f>
        <v>5988.909090909091</v>
      </c>
      <c r="P33" s="4" t="s">
        <v>12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f t="shared" si="6"/>
        <v>7507</v>
      </c>
    </row>
    <row r="34" spans="1:29" ht="12.75">
      <c r="A34" s="4" t="s">
        <v>77</v>
      </c>
      <c r="B34" s="15"/>
      <c r="C34" s="15"/>
      <c r="D34" s="15">
        <f aca="true" t="shared" si="7" ref="D34:E37">D21/D8</f>
        <v>6264.918367346939</v>
      </c>
      <c r="E34" s="15">
        <f t="shared" si="7"/>
        <v>5437.5</v>
      </c>
      <c r="F34" s="15"/>
      <c r="G34" s="15"/>
      <c r="H34" s="15"/>
      <c r="I34" s="15"/>
      <c r="J34" s="15"/>
      <c r="K34" s="15"/>
      <c r="L34" s="15"/>
      <c r="M34" s="15"/>
      <c r="N34" s="15">
        <f>N21/N8</f>
        <v>6232.470588235294</v>
      </c>
      <c r="P34" s="4" t="s">
        <v>77</v>
      </c>
      <c r="Q34" s="15">
        <f aca="true" t="shared" si="8" ref="Q34:AB34">Q21/Q8</f>
        <v>3577.128205128205</v>
      </c>
      <c r="R34" s="15">
        <f t="shared" si="8"/>
        <v>4563.578947368421</v>
      </c>
      <c r="S34" s="15">
        <f t="shared" si="8"/>
        <v>4776.394736842105</v>
      </c>
      <c r="T34" s="15">
        <f t="shared" si="8"/>
        <v>5149.120689655172</v>
      </c>
      <c r="U34" s="15">
        <f t="shared" si="8"/>
        <v>8406.098484848484</v>
      </c>
      <c r="V34" s="15">
        <f t="shared" si="8"/>
        <v>5293.016393442623</v>
      </c>
      <c r="W34" s="15">
        <f t="shared" si="8"/>
        <v>4734.054794520548</v>
      </c>
      <c r="X34" s="15">
        <f t="shared" si="8"/>
        <v>3471.442105263158</v>
      </c>
      <c r="Y34" s="15">
        <f t="shared" si="8"/>
        <v>4382.6140350877195</v>
      </c>
      <c r="Z34" s="15">
        <f t="shared" si="8"/>
        <v>4536.858267716535</v>
      </c>
      <c r="AA34" s="15">
        <f t="shared" si="8"/>
        <v>6067.585635359116</v>
      </c>
      <c r="AB34" s="15">
        <f t="shared" si="8"/>
        <v>4941.0317460317465</v>
      </c>
      <c r="AC34" s="15">
        <f t="shared" si="6"/>
        <v>5259.460481099656</v>
      </c>
    </row>
    <row r="35" spans="1:29" ht="12.75">
      <c r="A35" s="4" t="s">
        <v>18</v>
      </c>
      <c r="B35" s="15">
        <f aca="true" t="shared" si="9" ref="B35:C37">B22/B9</f>
        <v>6848.643988816402</v>
      </c>
      <c r="C35" s="15">
        <f t="shared" si="9"/>
        <v>7217.916780354707</v>
      </c>
      <c r="D35" s="15">
        <f t="shared" si="7"/>
        <v>7260.996164908916</v>
      </c>
      <c r="E35" s="15">
        <f t="shared" si="7"/>
        <v>6895.367805755395</v>
      </c>
      <c r="F35" s="15">
        <f aca="true" t="shared" si="10" ref="F35:J37">F22/F9</f>
        <v>6827.88948787062</v>
      </c>
      <c r="G35" s="15">
        <f t="shared" si="10"/>
        <v>6712.155303030303</v>
      </c>
      <c r="H35" s="15">
        <f t="shared" si="10"/>
        <v>6717.763289036545</v>
      </c>
      <c r="I35" s="15">
        <f t="shared" si="10"/>
        <v>6623.3777112939415</v>
      </c>
      <c r="J35" s="15">
        <f t="shared" si="10"/>
        <v>6555.1385927505335</v>
      </c>
      <c r="K35" s="15"/>
      <c r="L35" s="15"/>
      <c r="M35" s="15"/>
      <c r="N35" s="15">
        <f>N22/N9</f>
        <v>6842.537169431526</v>
      </c>
      <c r="P35" s="4" t="s">
        <v>18</v>
      </c>
      <c r="Q35" s="15">
        <f aca="true" t="shared" si="11" ref="Q35:AB35">Q22/Q9</f>
        <v>3728.926871484206</v>
      </c>
      <c r="R35" s="15">
        <f t="shared" si="11"/>
        <v>3833.474342928661</v>
      </c>
      <c r="S35" s="15">
        <f t="shared" si="11"/>
        <v>3705.5221091965955</v>
      </c>
      <c r="T35" s="15">
        <f t="shared" si="11"/>
        <v>3883.7232620320856</v>
      </c>
      <c r="U35" s="15">
        <f t="shared" si="11"/>
        <v>3755.4966777408636</v>
      </c>
      <c r="V35" s="15">
        <f t="shared" si="11"/>
        <v>3750.388201712655</v>
      </c>
      <c r="W35" s="15">
        <f t="shared" si="11"/>
        <v>3645.909002669255</v>
      </c>
      <c r="X35" s="15">
        <f t="shared" si="11"/>
        <v>3675.993969492728</v>
      </c>
      <c r="Y35" s="15">
        <f t="shared" si="11"/>
        <v>3603.646401118099</v>
      </c>
      <c r="Z35" s="15">
        <f t="shared" si="11"/>
        <v>3618.6694726810674</v>
      </c>
      <c r="AA35" s="15">
        <f t="shared" si="11"/>
        <v>3637.446193799708</v>
      </c>
      <c r="AB35" s="15">
        <f t="shared" si="11"/>
        <v>3624.860164306939</v>
      </c>
      <c r="AC35" s="15">
        <f t="shared" si="6"/>
        <v>3694.909531318583</v>
      </c>
    </row>
    <row r="36" spans="1:29" ht="12.75">
      <c r="A36" s="4" t="s">
        <v>19</v>
      </c>
      <c r="B36" s="15">
        <f t="shared" si="9"/>
        <v>5277.170212765957</v>
      </c>
      <c r="C36" s="15">
        <f t="shared" si="9"/>
        <v>4680</v>
      </c>
      <c r="D36" s="15">
        <f t="shared" si="7"/>
        <v>5631.107142857143</v>
      </c>
      <c r="E36" s="15">
        <f t="shared" si="7"/>
        <v>5427.204545454545</v>
      </c>
      <c r="F36" s="15">
        <f t="shared" si="10"/>
        <v>5889.736842105263</v>
      </c>
      <c r="G36" s="15">
        <f t="shared" si="10"/>
        <v>5119.074626865671</v>
      </c>
      <c r="H36" s="15">
        <f t="shared" si="10"/>
        <v>5562.65625</v>
      </c>
      <c r="I36" s="15">
        <f t="shared" si="10"/>
        <v>6222.410714285715</v>
      </c>
      <c r="J36" s="15">
        <f t="shared" si="10"/>
        <v>6105.25</v>
      </c>
      <c r="K36" s="15"/>
      <c r="L36" s="15"/>
      <c r="M36" s="15"/>
      <c r="N36" s="15">
        <f>N23/N10</f>
        <v>5637.576612903225</v>
      </c>
      <c r="P36" s="4" t="s">
        <v>19</v>
      </c>
      <c r="Q36" s="15">
        <f aca="true" t="shared" si="12" ref="Q36:AB36">Q23/Q10</f>
        <v>3494.1466512702077</v>
      </c>
      <c r="R36" s="15">
        <f t="shared" si="12"/>
        <v>3586.94718153573</v>
      </c>
      <c r="S36" s="15">
        <f t="shared" si="12"/>
        <v>3585.2679496669134</v>
      </c>
      <c r="T36" s="15">
        <f t="shared" si="12"/>
        <v>3482.034452682076</v>
      </c>
      <c r="U36" s="15">
        <f t="shared" si="12"/>
        <v>3319.217895608948</v>
      </c>
      <c r="V36" s="15">
        <f t="shared" si="12"/>
        <v>3462.8688449148644</v>
      </c>
      <c r="W36" s="15">
        <f t="shared" si="12"/>
        <v>3284.630490018149</v>
      </c>
      <c r="X36" s="15">
        <f t="shared" si="12"/>
        <v>3285.8570856685346</v>
      </c>
      <c r="Y36" s="15">
        <f t="shared" si="12"/>
        <v>3249.8098488542173</v>
      </c>
      <c r="Z36" s="15">
        <f t="shared" si="12"/>
        <v>3722.4688569472964</v>
      </c>
      <c r="AA36" s="15">
        <f t="shared" si="12"/>
        <v>3380.5497287522603</v>
      </c>
      <c r="AB36" s="15">
        <f t="shared" si="12"/>
        <v>3291.834</v>
      </c>
      <c r="AC36" s="15">
        <f t="shared" si="6"/>
        <v>3426.0596806696635</v>
      </c>
    </row>
    <row r="37" spans="1:29" ht="12.75">
      <c r="A37" s="1" t="s">
        <v>20</v>
      </c>
      <c r="B37" s="17">
        <f t="shared" si="9"/>
        <v>6782.698214285714</v>
      </c>
      <c r="C37" s="17">
        <f t="shared" si="9"/>
        <v>7031.82427307206</v>
      </c>
      <c r="D37" s="17">
        <f t="shared" si="7"/>
        <v>7103.072278911564</v>
      </c>
      <c r="E37" s="17">
        <f t="shared" si="7"/>
        <v>6785.455906821963</v>
      </c>
      <c r="F37" s="17">
        <f t="shared" si="10"/>
        <v>6782.184615384615</v>
      </c>
      <c r="G37" s="17">
        <f t="shared" si="10"/>
        <v>6635.20043258832</v>
      </c>
      <c r="H37" s="17">
        <f t="shared" si="10"/>
        <v>6659.461356466877</v>
      </c>
      <c r="I37" s="17">
        <f t="shared" si="10"/>
        <v>6607.258435032304</v>
      </c>
      <c r="J37" s="17">
        <f t="shared" si="10"/>
        <v>6544.550069541029</v>
      </c>
      <c r="K37" s="17"/>
      <c r="L37" s="17"/>
      <c r="M37" s="17"/>
      <c r="N37" s="17">
        <f>N24/N11</f>
        <v>6780.945507132058</v>
      </c>
      <c r="P37" s="1" t="s">
        <v>20</v>
      </c>
      <c r="Q37" s="17">
        <f aca="true" t="shared" si="13" ref="Q37:AB37">Q24/Q11</f>
        <v>3665.325511055486</v>
      </c>
      <c r="R37" s="17">
        <f t="shared" si="13"/>
        <v>3733.4726548352046</v>
      </c>
      <c r="S37" s="17">
        <f t="shared" si="13"/>
        <v>3678.020432066632</v>
      </c>
      <c r="T37" s="17">
        <f t="shared" si="13"/>
        <v>3754.120898352049</v>
      </c>
      <c r="U37" s="17">
        <f t="shared" si="13"/>
        <v>3690.5118343195268</v>
      </c>
      <c r="V37" s="17">
        <f t="shared" si="13"/>
        <v>3657.282514674081</v>
      </c>
      <c r="W37" s="17">
        <f t="shared" si="13"/>
        <v>3514.707183908046</v>
      </c>
      <c r="X37" s="17">
        <f t="shared" si="13"/>
        <v>3554.838126440966</v>
      </c>
      <c r="Y37" s="17">
        <f t="shared" si="13"/>
        <v>3514.6976478067386</v>
      </c>
      <c r="Z37" s="17">
        <f t="shared" si="13"/>
        <v>3652.695459157788</v>
      </c>
      <c r="AA37" s="17">
        <f t="shared" si="13"/>
        <v>3658.2562072205073</v>
      </c>
      <c r="AB37" s="17">
        <f t="shared" si="13"/>
        <v>3591.0163292847506</v>
      </c>
      <c r="AC37" s="17">
        <f t="shared" si="6"/>
        <v>3635.4991093172184</v>
      </c>
    </row>
    <row r="38" spans="1:16" ht="12.75">
      <c r="A38" s="5" t="s">
        <v>24</v>
      </c>
      <c r="P38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1">
      <selection activeCell="A2" sqref="A2"/>
    </sheetView>
  </sheetViews>
  <sheetFormatPr defaultColWidth="11.421875" defaultRowHeight="12.75"/>
  <cols>
    <col min="1" max="1" width="20.57421875" style="0" bestFit="1" customWidth="1"/>
    <col min="2" max="2" width="10.7109375" style="0" customWidth="1"/>
    <col min="3" max="6" width="11.140625" style="0" customWidth="1"/>
    <col min="7" max="7" width="10.7109375" style="0" customWidth="1"/>
    <col min="8" max="9" width="11.140625" style="0" customWidth="1"/>
    <col min="10" max="11" width="10.7109375" style="0" customWidth="1"/>
    <col min="12" max="12" width="11.57421875" style="0" customWidth="1"/>
    <col min="13" max="13" width="11.7109375" style="0" customWidth="1"/>
    <col min="14" max="14" width="12.7109375" style="0" bestFit="1" customWidth="1"/>
    <col min="16" max="16" width="20.57421875" style="0" bestFit="1" customWidth="1"/>
    <col min="17" max="28" width="10.7109375" style="0" customWidth="1"/>
  </cols>
  <sheetData>
    <row r="1" spans="1:16" ht="12.75">
      <c r="A1" t="s">
        <v>78</v>
      </c>
      <c r="P1" t="s">
        <v>79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</row>
    <row r="4" spans="1:29" ht="12.75">
      <c r="A4" s="4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8"/>
      <c r="L4" s="8"/>
      <c r="M4" s="8"/>
      <c r="N4" s="8"/>
      <c r="P4" s="4" t="s">
        <v>13</v>
      </c>
      <c r="Q4" s="22">
        <v>8</v>
      </c>
      <c r="R4" s="22"/>
      <c r="S4" s="22">
        <v>14</v>
      </c>
      <c r="T4" s="22">
        <v>40</v>
      </c>
      <c r="U4" s="22">
        <v>24</v>
      </c>
      <c r="V4" s="22">
        <v>45</v>
      </c>
      <c r="W4" s="22">
        <v>61</v>
      </c>
      <c r="X4" s="22">
        <v>27</v>
      </c>
      <c r="Y4" s="22">
        <v>42</v>
      </c>
      <c r="Z4" s="8">
        <f>11+16</f>
        <v>27</v>
      </c>
      <c r="AA4" s="8">
        <v>13</v>
      </c>
      <c r="AB4" s="8">
        <f>19+13</f>
        <v>32</v>
      </c>
      <c r="AC4" s="8">
        <f>SUM(Q4:AB4)</f>
        <v>333</v>
      </c>
    </row>
    <row r="5" spans="1:29" ht="12.75">
      <c r="A5" s="4" t="s">
        <v>15</v>
      </c>
      <c r="B5" s="22"/>
      <c r="C5" s="22"/>
      <c r="D5" s="22"/>
      <c r="E5" s="22"/>
      <c r="F5" s="8">
        <v>5</v>
      </c>
      <c r="G5" s="8">
        <v>5</v>
      </c>
      <c r="H5" s="22"/>
      <c r="I5" s="22">
        <v>8</v>
      </c>
      <c r="J5" s="20"/>
      <c r="K5" s="8"/>
      <c r="L5" s="8"/>
      <c r="M5" s="8"/>
      <c r="N5" s="8">
        <f aca="true" t="shared" si="0" ref="N5:N11">SUM(B5:M5)</f>
        <v>18</v>
      </c>
      <c r="P5" s="4" t="s">
        <v>15</v>
      </c>
      <c r="Q5" s="22">
        <v>50</v>
      </c>
      <c r="R5" s="22">
        <v>144</v>
      </c>
      <c r="S5" s="22">
        <v>185</v>
      </c>
      <c r="T5" s="22">
        <v>228</v>
      </c>
      <c r="U5" s="22">
        <v>443</v>
      </c>
      <c r="V5" s="22">
        <v>152</v>
      </c>
      <c r="W5" s="22">
        <v>546</v>
      </c>
      <c r="X5" s="22">
        <v>214</v>
      </c>
      <c r="Y5" s="22">
        <v>603</v>
      </c>
      <c r="Z5" s="8">
        <v>105</v>
      </c>
      <c r="AA5" s="8">
        <v>41</v>
      </c>
      <c r="AB5" s="8">
        <v>67</v>
      </c>
      <c r="AC5" s="8">
        <f aca="true" t="shared" si="1" ref="AC5:AC11">SUM(Q5:AB5)</f>
        <v>2778</v>
      </c>
    </row>
    <row r="6" spans="1:29" ht="12.75">
      <c r="A6" s="4" t="s">
        <v>11</v>
      </c>
      <c r="B6" s="22"/>
      <c r="C6" s="22"/>
      <c r="D6" s="22"/>
      <c r="E6" s="22"/>
      <c r="F6" s="22"/>
      <c r="G6" s="22"/>
      <c r="H6" s="22"/>
      <c r="I6" s="22"/>
      <c r="J6" s="20"/>
      <c r="K6" s="8"/>
      <c r="L6" s="8"/>
      <c r="M6" s="8">
        <f>39+5</f>
        <v>44</v>
      </c>
      <c r="N6" s="8">
        <f t="shared" si="0"/>
        <v>44</v>
      </c>
      <c r="P6" s="4" t="s">
        <v>11</v>
      </c>
      <c r="Q6" s="8"/>
      <c r="R6" s="8"/>
      <c r="S6" s="8"/>
      <c r="T6" s="8"/>
      <c r="U6" s="8"/>
      <c r="V6" s="8"/>
      <c r="W6" s="8"/>
      <c r="X6" s="8"/>
      <c r="Y6" s="20"/>
      <c r="Z6" s="8"/>
      <c r="AA6" s="8"/>
      <c r="AB6" s="8"/>
      <c r="AC6" s="8"/>
    </row>
    <row r="7" spans="1:29" ht="12.75">
      <c r="A7" s="4" t="s">
        <v>80</v>
      </c>
      <c r="B7" s="22"/>
      <c r="C7" s="22"/>
      <c r="D7" s="22"/>
      <c r="E7" s="22"/>
      <c r="F7" s="22"/>
      <c r="G7" s="22"/>
      <c r="H7" s="22"/>
      <c r="I7" s="22"/>
      <c r="J7" s="20"/>
      <c r="K7" s="8"/>
      <c r="L7" s="8"/>
      <c r="M7" s="8"/>
      <c r="N7" s="8"/>
      <c r="P7" s="4" t="s">
        <v>80</v>
      </c>
      <c r="Q7" s="8">
        <v>50</v>
      </c>
      <c r="R7" s="8"/>
      <c r="S7" s="8">
        <v>23</v>
      </c>
      <c r="T7" s="8">
        <v>25</v>
      </c>
      <c r="U7" s="8">
        <v>85</v>
      </c>
      <c r="V7" s="8"/>
      <c r="W7" s="8">
        <v>71</v>
      </c>
      <c r="X7" s="8">
        <v>41</v>
      </c>
      <c r="Y7" s="8">
        <v>59</v>
      </c>
      <c r="Z7" s="8">
        <v>75</v>
      </c>
      <c r="AA7" s="8">
        <v>57</v>
      </c>
      <c r="AB7" s="8">
        <v>49</v>
      </c>
      <c r="AC7" s="8">
        <f t="shared" si="1"/>
        <v>535</v>
      </c>
    </row>
    <row r="8" spans="1:29" ht="12.75">
      <c r="A8" s="4" t="s">
        <v>77</v>
      </c>
      <c r="B8" s="22">
        <v>96</v>
      </c>
      <c r="C8" s="22">
        <v>108</v>
      </c>
      <c r="D8" s="22">
        <v>149</v>
      </c>
      <c r="E8" s="22">
        <v>161</v>
      </c>
      <c r="F8" s="22">
        <v>178</v>
      </c>
      <c r="G8" s="22">
        <v>278</v>
      </c>
      <c r="H8" s="22">
        <v>314</v>
      </c>
      <c r="I8" s="22">
        <v>357</v>
      </c>
      <c r="J8" s="22">
        <v>231</v>
      </c>
      <c r="K8" s="8">
        <v>207</v>
      </c>
      <c r="L8" s="8">
        <v>228</v>
      </c>
      <c r="M8" s="8">
        <v>199</v>
      </c>
      <c r="N8" s="8">
        <f t="shared" si="0"/>
        <v>2506</v>
      </c>
      <c r="P8" s="4" t="s">
        <v>77</v>
      </c>
      <c r="Q8" s="8">
        <v>126</v>
      </c>
      <c r="R8" s="8">
        <v>256</v>
      </c>
      <c r="S8" s="8">
        <v>236</v>
      </c>
      <c r="T8" s="8">
        <v>390</v>
      </c>
      <c r="U8" s="8">
        <v>404</v>
      </c>
      <c r="V8" s="8">
        <v>226</v>
      </c>
      <c r="W8" s="8">
        <v>645</v>
      </c>
      <c r="X8" s="8">
        <v>412</v>
      </c>
      <c r="Y8" s="8">
        <v>446</v>
      </c>
      <c r="Z8" s="8">
        <v>384</v>
      </c>
      <c r="AA8" s="8">
        <v>268</v>
      </c>
      <c r="AB8" s="8">
        <v>307</v>
      </c>
      <c r="AC8" s="8">
        <f t="shared" si="1"/>
        <v>4100</v>
      </c>
    </row>
    <row r="9" spans="1:29" ht="12.75">
      <c r="A9" s="4" t="s">
        <v>18</v>
      </c>
      <c r="B9" s="8">
        <v>12497</v>
      </c>
      <c r="C9" s="8">
        <v>17526</v>
      </c>
      <c r="D9" s="8">
        <v>21141</v>
      </c>
      <c r="E9" s="8">
        <v>19956</v>
      </c>
      <c r="F9" s="8">
        <v>22435</v>
      </c>
      <c r="G9" s="8">
        <v>15439</v>
      </c>
      <c r="H9" s="8">
        <v>26985</v>
      </c>
      <c r="I9" s="8">
        <v>17808</v>
      </c>
      <c r="J9" s="8">
        <v>15035</v>
      </c>
      <c r="K9" s="8">
        <v>16533</v>
      </c>
      <c r="L9" s="8">
        <v>18453</v>
      </c>
      <c r="M9" s="8">
        <v>19034</v>
      </c>
      <c r="N9" s="8">
        <f t="shared" si="0"/>
        <v>222842</v>
      </c>
      <c r="P9" s="4" t="s">
        <v>18</v>
      </c>
      <c r="Q9" s="8">
        <v>12874</v>
      </c>
      <c r="R9" s="8">
        <v>15872</v>
      </c>
      <c r="S9" s="8">
        <v>17003</v>
      </c>
      <c r="T9" s="8">
        <v>19510</v>
      </c>
      <c r="U9" s="8">
        <v>18810</v>
      </c>
      <c r="V9" s="8">
        <v>7743</v>
      </c>
      <c r="W9" s="8">
        <v>25017</v>
      </c>
      <c r="X9" s="8">
        <v>14053</v>
      </c>
      <c r="Y9" s="8">
        <v>15375</v>
      </c>
      <c r="Z9" s="8">
        <v>14247</v>
      </c>
      <c r="AA9" s="8">
        <v>15500</v>
      </c>
      <c r="AB9" s="8">
        <v>12066</v>
      </c>
      <c r="AC9" s="8">
        <f t="shared" si="1"/>
        <v>188070</v>
      </c>
    </row>
    <row r="10" spans="1:29" ht="12.75">
      <c r="A10" s="4" t="s">
        <v>19</v>
      </c>
      <c r="B10" s="22">
        <v>317</v>
      </c>
      <c r="C10" s="21">
        <v>319</v>
      </c>
      <c r="D10" s="22">
        <v>381</v>
      </c>
      <c r="E10" s="22">
        <v>332</v>
      </c>
      <c r="F10" s="22">
        <v>468</v>
      </c>
      <c r="G10" s="22">
        <v>313</v>
      </c>
      <c r="H10" s="22">
        <v>449</v>
      </c>
      <c r="I10" s="22">
        <v>355</v>
      </c>
      <c r="J10" s="20">
        <v>377</v>
      </c>
      <c r="K10" s="8">
        <v>374</v>
      </c>
      <c r="L10" s="8">
        <v>323</v>
      </c>
      <c r="M10" s="8">
        <v>497</v>
      </c>
      <c r="N10" s="8">
        <f t="shared" si="0"/>
        <v>4505</v>
      </c>
      <c r="P10" s="4" t="s">
        <v>19</v>
      </c>
      <c r="Q10" s="8">
        <v>1972</v>
      </c>
      <c r="R10" s="25">
        <v>2739</v>
      </c>
      <c r="S10" s="8">
        <v>3102</v>
      </c>
      <c r="T10" s="8">
        <v>4728</v>
      </c>
      <c r="U10" s="8">
        <v>4909</v>
      </c>
      <c r="V10" s="8">
        <v>1958</v>
      </c>
      <c r="W10" s="8">
        <v>5625</v>
      </c>
      <c r="X10" s="8">
        <v>2291</v>
      </c>
      <c r="Y10" s="20">
        <v>1732</v>
      </c>
      <c r="Z10" s="8">
        <v>1033</v>
      </c>
      <c r="AA10" s="8">
        <v>1168</v>
      </c>
      <c r="AB10" s="8">
        <v>1500</v>
      </c>
      <c r="AC10" s="8">
        <f t="shared" si="1"/>
        <v>32757</v>
      </c>
    </row>
    <row r="11" spans="1:29" ht="12.75">
      <c r="A11" s="1" t="s">
        <v>20</v>
      </c>
      <c r="B11" s="10">
        <f aca="true" t="shared" si="2" ref="B11:M11">SUM(B4:B10)</f>
        <v>12910</v>
      </c>
      <c r="C11" s="10">
        <f t="shared" si="2"/>
        <v>17953</v>
      </c>
      <c r="D11" s="10">
        <f t="shared" si="2"/>
        <v>21671</v>
      </c>
      <c r="E11" s="10">
        <f t="shared" si="2"/>
        <v>20449</v>
      </c>
      <c r="F11" s="10">
        <f t="shared" si="2"/>
        <v>23086</v>
      </c>
      <c r="G11" s="10">
        <f t="shared" si="2"/>
        <v>16035</v>
      </c>
      <c r="H11" s="10">
        <f t="shared" si="2"/>
        <v>27748</v>
      </c>
      <c r="I11" s="10">
        <f t="shared" si="2"/>
        <v>18528</v>
      </c>
      <c r="J11" s="10">
        <f t="shared" si="2"/>
        <v>15643</v>
      </c>
      <c r="K11" s="10">
        <f t="shared" si="2"/>
        <v>17114</v>
      </c>
      <c r="L11" s="10">
        <f t="shared" si="2"/>
        <v>19004</v>
      </c>
      <c r="M11" s="10">
        <f t="shared" si="2"/>
        <v>19774</v>
      </c>
      <c r="N11" s="10">
        <f t="shared" si="0"/>
        <v>229915</v>
      </c>
      <c r="P11" s="1" t="s">
        <v>20</v>
      </c>
      <c r="Q11" s="10">
        <f aca="true" t="shared" si="3" ref="Q11:AB11">SUM(Q4:Q10)</f>
        <v>15080</v>
      </c>
      <c r="R11" s="10">
        <f t="shared" si="3"/>
        <v>19011</v>
      </c>
      <c r="S11" s="10">
        <f t="shared" si="3"/>
        <v>20563</v>
      </c>
      <c r="T11" s="10">
        <f t="shared" si="3"/>
        <v>24921</v>
      </c>
      <c r="U11" s="10">
        <f t="shared" si="3"/>
        <v>24675</v>
      </c>
      <c r="V11" s="10">
        <f t="shared" si="3"/>
        <v>10124</v>
      </c>
      <c r="W11" s="10">
        <f t="shared" si="3"/>
        <v>31965</v>
      </c>
      <c r="X11" s="10">
        <f t="shared" si="3"/>
        <v>17038</v>
      </c>
      <c r="Y11" s="10">
        <f t="shared" si="3"/>
        <v>18257</v>
      </c>
      <c r="Z11" s="10">
        <f t="shared" si="3"/>
        <v>15871</v>
      </c>
      <c r="AA11" s="10">
        <f t="shared" si="3"/>
        <v>17047</v>
      </c>
      <c r="AB11" s="10">
        <f t="shared" si="3"/>
        <v>14021</v>
      </c>
      <c r="AC11" s="10">
        <f t="shared" si="1"/>
        <v>228573</v>
      </c>
    </row>
    <row r="12" spans="1:16" ht="12.75">
      <c r="A12" s="5" t="s">
        <v>24</v>
      </c>
      <c r="P12" s="5" t="s">
        <v>24</v>
      </c>
    </row>
    <row r="14" spans="1:16" ht="12.75">
      <c r="A14" t="s">
        <v>78</v>
      </c>
      <c r="P14" t="s">
        <v>79</v>
      </c>
    </row>
    <row r="15" spans="1:16" ht="12.75">
      <c r="A15" t="s">
        <v>31</v>
      </c>
      <c r="P15" t="s">
        <v>31</v>
      </c>
    </row>
    <row r="16" spans="1:29" ht="12.75">
      <c r="A16" s="1" t="s">
        <v>21</v>
      </c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28</v>
      </c>
      <c r="L16" s="2" t="s">
        <v>29</v>
      </c>
      <c r="M16" s="2" t="s">
        <v>30</v>
      </c>
      <c r="N16" s="6" t="s">
        <v>25</v>
      </c>
      <c r="P16" s="1" t="s">
        <v>21</v>
      </c>
      <c r="Q16" s="2" t="s">
        <v>0</v>
      </c>
      <c r="R16" s="2" t="s">
        <v>1</v>
      </c>
      <c r="S16" s="2" t="s">
        <v>2</v>
      </c>
      <c r="T16" s="2" t="s">
        <v>3</v>
      </c>
      <c r="U16" s="2" t="s">
        <v>4</v>
      </c>
      <c r="V16" s="2" t="s">
        <v>5</v>
      </c>
      <c r="W16" s="2" t="s">
        <v>6</v>
      </c>
      <c r="X16" s="2" t="s">
        <v>7</v>
      </c>
      <c r="Y16" s="2" t="s">
        <v>8</v>
      </c>
      <c r="Z16" s="2" t="s">
        <v>28</v>
      </c>
      <c r="AA16" s="2" t="s">
        <v>29</v>
      </c>
      <c r="AB16" s="2" t="s">
        <v>30</v>
      </c>
      <c r="AC16" s="6" t="s">
        <v>25</v>
      </c>
    </row>
    <row r="17" spans="1:29" ht="12.75">
      <c r="A17" s="4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P17" s="4" t="s">
        <v>13</v>
      </c>
      <c r="Q17" s="8">
        <f>22046+9316</f>
        <v>31362</v>
      </c>
      <c r="R17" s="8"/>
      <c r="S17" s="8">
        <f>18925+22141</f>
        <v>41066</v>
      </c>
      <c r="T17" s="8">
        <f>101281+27040</f>
        <v>128321</v>
      </c>
      <c r="U17" s="8">
        <f>64277+27089</f>
        <v>91366</v>
      </c>
      <c r="V17" s="8">
        <f>99856+53239</f>
        <v>153095</v>
      </c>
      <c r="W17" s="8">
        <f>99083+85700</f>
        <v>184783</v>
      </c>
      <c r="X17" s="8">
        <f>64175</f>
        <v>64175</v>
      </c>
      <c r="Y17" s="8">
        <f>160308+6842</f>
        <v>167150</v>
      </c>
      <c r="Z17" s="8">
        <f>38620+43478</f>
        <v>82098</v>
      </c>
      <c r="AA17" s="8">
        <f>2550+47597</f>
        <v>50147</v>
      </c>
      <c r="AB17" s="8">
        <f>33529+54212</f>
        <v>87741</v>
      </c>
      <c r="AC17" s="8">
        <f>SUM(Q17:AB17)</f>
        <v>1081304</v>
      </c>
    </row>
    <row r="18" spans="1:29" ht="12.75">
      <c r="A18" s="4" t="s">
        <v>15</v>
      </c>
      <c r="B18" s="8"/>
      <c r="C18" s="8"/>
      <c r="D18" s="8"/>
      <c r="E18" s="8"/>
      <c r="F18" s="8">
        <v>30737</v>
      </c>
      <c r="G18" s="8">
        <v>29848</v>
      </c>
      <c r="H18" s="8"/>
      <c r="I18" s="8">
        <v>37842</v>
      </c>
      <c r="J18" s="8"/>
      <c r="K18" s="8"/>
      <c r="L18" s="8"/>
      <c r="M18" s="8"/>
      <c r="N18" s="8">
        <f aca="true" t="shared" si="4" ref="N18:N24">SUM(B18:M18)</f>
        <v>98427</v>
      </c>
      <c r="P18" s="4" t="s">
        <v>15</v>
      </c>
      <c r="Q18" s="8">
        <v>200092</v>
      </c>
      <c r="R18" s="8">
        <v>505746</v>
      </c>
      <c r="S18" s="8">
        <v>673929</v>
      </c>
      <c r="T18" s="8">
        <v>936356</v>
      </c>
      <c r="U18" s="8">
        <v>1731364</v>
      </c>
      <c r="V18" s="8">
        <v>599575</v>
      </c>
      <c r="W18" s="8">
        <v>2070823</v>
      </c>
      <c r="X18" s="8">
        <v>832974</v>
      </c>
      <c r="Y18" s="8">
        <v>2387095</v>
      </c>
      <c r="Z18" s="8">
        <v>426226</v>
      </c>
      <c r="AA18" s="8">
        <v>122758</v>
      </c>
      <c r="AB18" s="8">
        <v>201944</v>
      </c>
      <c r="AC18" s="8">
        <f aca="true" t="shared" si="5" ref="AC18:AC24">SUM(Q18:AB18)</f>
        <v>10688882</v>
      </c>
    </row>
    <row r="19" spans="1:29" ht="12.75">
      <c r="A19" s="4" t="s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>394086+63474</f>
        <v>457560</v>
      </c>
      <c r="N19" s="8">
        <f t="shared" si="4"/>
        <v>457560</v>
      </c>
      <c r="P19" s="4" t="s">
        <v>11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2.75">
      <c r="A20" s="4" t="s">
        <v>80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P20" s="4" t="s">
        <v>80</v>
      </c>
      <c r="Q20" s="8">
        <v>143481</v>
      </c>
      <c r="R20" s="8"/>
      <c r="S20" s="8">
        <v>67088</v>
      </c>
      <c r="T20" s="8">
        <v>70548</v>
      </c>
      <c r="U20" s="8">
        <v>261486</v>
      </c>
      <c r="V20" s="8"/>
      <c r="W20" s="8">
        <v>193931</v>
      </c>
      <c r="X20" s="8">
        <v>114980</v>
      </c>
      <c r="Y20" s="8">
        <v>167446</v>
      </c>
      <c r="Z20" s="8">
        <v>212591</v>
      </c>
      <c r="AA20" s="8">
        <v>160249</v>
      </c>
      <c r="AB20" s="8">
        <v>142941</v>
      </c>
      <c r="AC20" s="8">
        <f t="shared" si="5"/>
        <v>1534741</v>
      </c>
    </row>
    <row r="21" spans="1:29" ht="12.75">
      <c r="A21" s="4" t="s">
        <v>77</v>
      </c>
      <c r="B21" s="8">
        <v>742450</v>
      </c>
      <c r="C21" s="8">
        <v>851817</v>
      </c>
      <c r="D21" s="8">
        <v>1137953</v>
      </c>
      <c r="E21" s="8">
        <v>1222873</v>
      </c>
      <c r="F21" s="8">
        <v>1394706</v>
      </c>
      <c r="G21" s="8">
        <v>2198387</v>
      </c>
      <c r="H21" s="8">
        <v>2436798</v>
      </c>
      <c r="I21" s="8">
        <v>2747822</v>
      </c>
      <c r="J21" s="8">
        <v>1727303</v>
      </c>
      <c r="K21" s="8">
        <v>1634769</v>
      </c>
      <c r="L21" s="8">
        <v>1761416</v>
      </c>
      <c r="M21" s="8">
        <v>1544831</v>
      </c>
      <c r="N21" s="8">
        <f t="shared" si="4"/>
        <v>19401125</v>
      </c>
      <c r="P21" s="4" t="s">
        <v>77</v>
      </c>
      <c r="Q21" s="8">
        <v>814278</v>
      </c>
      <c r="R21" s="8">
        <v>1554847</v>
      </c>
      <c r="S21" s="8">
        <v>1510074</v>
      </c>
      <c r="T21" s="8">
        <v>2457355</v>
      </c>
      <c r="U21" s="8">
        <v>2756172</v>
      </c>
      <c r="V21" s="8">
        <v>1432766</v>
      </c>
      <c r="W21" s="8">
        <v>4154064</v>
      </c>
      <c r="X21" s="8">
        <v>2472852</v>
      </c>
      <c r="Y21" s="8">
        <v>2516417</v>
      </c>
      <c r="Z21" s="8">
        <v>2080165</v>
      </c>
      <c r="AA21" s="8">
        <v>1419796</v>
      </c>
      <c r="AB21" s="8">
        <v>1529944</v>
      </c>
      <c r="AC21" s="8">
        <f t="shared" si="5"/>
        <v>24698730</v>
      </c>
    </row>
    <row r="22" spans="1:29" ht="12.75">
      <c r="A22" s="4" t="s">
        <v>18</v>
      </c>
      <c r="B22" s="8">
        <v>73450245</v>
      </c>
      <c r="C22" s="8">
        <v>103696869</v>
      </c>
      <c r="D22" s="8">
        <v>123383204</v>
      </c>
      <c r="E22" s="8">
        <v>116558494</v>
      </c>
      <c r="F22" s="8">
        <v>127522345</v>
      </c>
      <c r="G22" s="8">
        <v>88283310</v>
      </c>
      <c r="H22" s="8">
        <v>150478019</v>
      </c>
      <c r="I22" s="8">
        <v>101991309</v>
      </c>
      <c r="J22" s="8">
        <v>85729823</v>
      </c>
      <c r="K22" s="8">
        <v>92737760</v>
      </c>
      <c r="L22" s="8">
        <v>102386253</v>
      </c>
      <c r="M22" s="8">
        <v>105880258</v>
      </c>
      <c r="N22" s="8">
        <f t="shared" si="4"/>
        <v>1272097889</v>
      </c>
      <c r="P22" s="4" t="s">
        <v>18</v>
      </c>
      <c r="Q22" s="8">
        <v>38550815</v>
      </c>
      <c r="R22" s="8">
        <v>44746877</v>
      </c>
      <c r="S22" s="8">
        <v>49796006</v>
      </c>
      <c r="T22" s="8">
        <v>56749273</v>
      </c>
      <c r="U22" s="8">
        <v>55526844</v>
      </c>
      <c r="V22" s="8">
        <v>22786771</v>
      </c>
      <c r="W22" s="8">
        <v>69851547</v>
      </c>
      <c r="X22" s="8">
        <v>39007003</v>
      </c>
      <c r="Y22" s="8">
        <v>42647018</v>
      </c>
      <c r="Z22" s="8">
        <v>37244315</v>
      </c>
      <c r="AA22" s="8">
        <v>40791116</v>
      </c>
      <c r="AB22" s="8">
        <v>33026170</v>
      </c>
      <c r="AC22" s="8">
        <f t="shared" si="5"/>
        <v>530723755</v>
      </c>
    </row>
    <row r="23" spans="1:29" ht="12.75">
      <c r="A23" s="4" t="s">
        <v>19</v>
      </c>
      <c r="B23" s="8">
        <v>2144108</v>
      </c>
      <c r="C23" s="8">
        <v>2232319</v>
      </c>
      <c r="D23" s="8">
        <v>2735135</v>
      </c>
      <c r="E23" s="8">
        <v>2350480</v>
      </c>
      <c r="F23" s="8">
        <v>3324226</v>
      </c>
      <c r="G23" s="8">
        <v>2138222</v>
      </c>
      <c r="H23" s="8">
        <v>3152372</v>
      </c>
      <c r="I23" s="8">
        <v>2555722</v>
      </c>
      <c r="J23" s="8">
        <v>2649620</v>
      </c>
      <c r="K23" s="8">
        <v>2534233</v>
      </c>
      <c r="L23" s="8">
        <v>2198839</v>
      </c>
      <c r="M23" s="8">
        <v>3551415</v>
      </c>
      <c r="N23" s="8">
        <f t="shared" si="4"/>
        <v>31566691</v>
      </c>
      <c r="P23" s="4" t="s">
        <v>19</v>
      </c>
      <c r="Q23" s="8">
        <v>6302571</v>
      </c>
      <c r="R23" s="8">
        <v>8827835</v>
      </c>
      <c r="S23" s="8">
        <v>10560236</v>
      </c>
      <c r="T23" s="8">
        <v>15810428</v>
      </c>
      <c r="U23" s="8">
        <v>16542816</v>
      </c>
      <c r="V23" s="8">
        <v>7118069</v>
      </c>
      <c r="W23" s="8">
        <v>18960106</v>
      </c>
      <c r="X23" s="8">
        <v>7754628</v>
      </c>
      <c r="Y23" s="8">
        <v>5670293</v>
      </c>
      <c r="Z23" s="8">
        <v>3307078</v>
      </c>
      <c r="AA23" s="8">
        <v>3379366</v>
      </c>
      <c r="AB23" s="8">
        <v>4847741</v>
      </c>
      <c r="AC23" s="8">
        <f t="shared" si="5"/>
        <v>109081167</v>
      </c>
    </row>
    <row r="24" spans="1:29" ht="12.75">
      <c r="A24" s="1" t="s">
        <v>20</v>
      </c>
      <c r="B24" s="10">
        <f aca="true" t="shared" si="6" ref="B24:M24">SUM(B17:B23)</f>
        <v>76336803</v>
      </c>
      <c r="C24" s="10">
        <f t="shared" si="6"/>
        <v>106781005</v>
      </c>
      <c r="D24" s="10">
        <f t="shared" si="6"/>
        <v>127256292</v>
      </c>
      <c r="E24" s="10">
        <f t="shared" si="6"/>
        <v>120131847</v>
      </c>
      <c r="F24" s="10">
        <f t="shared" si="6"/>
        <v>132272014</v>
      </c>
      <c r="G24" s="10">
        <f t="shared" si="6"/>
        <v>92649767</v>
      </c>
      <c r="H24" s="10">
        <f t="shared" si="6"/>
        <v>156067189</v>
      </c>
      <c r="I24" s="10">
        <f t="shared" si="6"/>
        <v>107332695</v>
      </c>
      <c r="J24" s="10">
        <f t="shared" si="6"/>
        <v>90106746</v>
      </c>
      <c r="K24" s="10">
        <f t="shared" si="6"/>
        <v>96906762</v>
      </c>
      <c r="L24" s="10">
        <f t="shared" si="6"/>
        <v>106346508</v>
      </c>
      <c r="M24" s="10">
        <f t="shared" si="6"/>
        <v>111434064</v>
      </c>
      <c r="N24" s="10">
        <f t="shared" si="4"/>
        <v>1323621692</v>
      </c>
      <c r="P24" s="1" t="s">
        <v>20</v>
      </c>
      <c r="Q24" s="10">
        <f aca="true" t="shared" si="7" ref="Q24:AB24">SUM(Q17:Q23)</f>
        <v>46042599</v>
      </c>
      <c r="R24" s="10">
        <f t="shared" si="7"/>
        <v>55635305</v>
      </c>
      <c r="S24" s="10">
        <f t="shared" si="7"/>
        <v>62648399</v>
      </c>
      <c r="T24" s="10">
        <f t="shared" si="7"/>
        <v>76152281</v>
      </c>
      <c r="U24" s="10">
        <f t="shared" si="7"/>
        <v>76910048</v>
      </c>
      <c r="V24" s="10">
        <f t="shared" si="7"/>
        <v>32090276</v>
      </c>
      <c r="W24" s="10">
        <f t="shared" si="7"/>
        <v>95415254</v>
      </c>
      <c r="X24" s="10">
        <f t="shared" si="7"/>
        <v>50246612</v>
      </c>
      <c r="Y24" s="10">
        <f t="shared" si="7"/>
        <v>53555419</v>
      </c>
      <c r="Z24" s="10">
        <f t="shared" si="7"/>
        <v>43352473</v>
      </c>
      <c r="AA24" s="10">
        <f t="shared" si="7"/>
        <v>45923432</v>
      </c>
      <c r="AB24" s="10">
        <f t="shared" si="7"/>
        <v>39836481</v>
      </c>
      <c r="AC24" s="10">
        <f t="shared" si="5"/>
        <v>677808579</v>
      </c>
    </row>
    <row r="25" spans="1:16" ht="12.75">
      <c r="A25" s="5" t="s">
        <v>24</v>
      </c>
      <c r="P25" s="5" t="s">
        <v>24</v>
      </c>
    </row>
    <row r="27" spans="1:16" ht="12.75">
      <c r="A27" t="s">
        <v>78</v>
      </c>
      <c r="P27" t="s">
        <v>79</v>
      </c>
    </row>
    <row r="28" spans="1:16" ht="12.75">
      <c r="A28" t="s">
        <v>32</v>
      </c>
      <c r="P28" t="s">
        <v>32</v>
      </c>
    </row>
    <row r="29" spans="1:29" ht="12.75">
      <c r="A29" s="1" t="s">
        <v>21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28</v>
      </c>
      <c r="L29" s="2" t="s">
        <v>29</v>
      </c>
      <c r="M29" s="2" t="s">
        <v>30</v>
      </c>
      <c r="N29" s="6" t="s">
        <v>25</v>
      </c>
      <c r="P29" s="1" t="s">
        <v>21</v>
      </c>
      <c r="Q29" s="2" t="s">
        <v>0</v>
      </c>
      <c r="R29" s="2" t="s">
        <v>1</v>
      </c>
      <c r="S29" s="2" t="s">
        <v>2</v>
      </c>
      <c r="T29" s="2" t="s">
        <v>3</v>
      </c>
      <c r="U29" s="2" t="s">
        <v>4</v>
      </c>
      <c r="V29" s="2" t="s">
        <v>5</v>
      </c>
      <c r="W29" s="2" t="s">
        <v>6</v>
      </c>
      <c r="X29" s="2" t="s">
        <v>7</v>
      </c>
      <c r="Y29" s="2" t="s">
        <v>8</v>
      </c>
      <c r="Z29" s="2" t="s">
        <v>28</v>
      </c>
      <c r="AA29" s="2" t="s">
        <v>29</v>
      </c>
      <c r="AB29" s="2" t="s">
        <v>30</v>
      </c>
      <c r="AC29" s="6" t="s">
        <v>25</v>
      </c>
    </row>
    <row r="30" spans="1:29" ht="12.75">
      <c r="A30" s="4" t="s">
        <v>13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4" t="s">
        <v>13</v>
      </c>
      <c r="Q30" s="15">
        <f aca="true" t="shared" si="8" ref="Q30:AC31">Q17/Q4</f>
        <v>3920.25</v>
      </c>
      <c r="R30" s="15"/>
      <c r="S30" s="15">
        <f t="shared" si="8"/>
        <v>2933.285714285714</v>
      </c>
      <c r="T30" s="15">
        <f t="shared" si="8"/>
        <v>3208.025</v>
      </c>
      <c r="U30" s="15">
        <f t="shared" si="8"/>
        <v>3806.9166666666665</v>
      </c>
      <c r="V30" s="15">
        <f t="shared" si="8"/>
        <v>3402.1111111111113</v>
      </c>
      <c r="W30" s="15">
        <f t="shared" si="8"/>
        <v>3029.2295081967213</v>
      </c>
      <c r="X30" s="15">
        <f t="shared" si="8"/>
        <v>2376.8518518518517</v>
      </c>
      <c r="Y30" s="15">
        <f t="shared" si="8"/>
        <v>3979.7619047619046</v>
      </c>
      <c r="Z30" s="15">
        <f t="shared" si="8"/>
        <v>3040.6666666666665</v>
      </c>
      <c r="AA30" s="15">
        <f t="shared" si="8"/>
        <v>3857.4615384615386</v>
      </c>
      <c r="AB30" s="15">
        <f t="shared" si="8"/>
        <v>2741.90625</v>
      </c>
      <c r="AC30" s="15">
        <f t="shared" si="8"/>
        <v>3247.159159159159</v>
      </c>
    </row>
    <row r="31" spans="1:29" ht="12.75">
      <c r="A31" s="4" t="s">
        <v>15</v>
      </c>
      <c r="B31" s="15"/>
      <c r="C31" s="15"/>
      <c r="D31" s="15"/>
      <c r="E31" s="15"/>
      <c r="F31" s="15">
        <f aca="true" t="shared" si="9" ref="F31:N31">F18/F5</f>
        <v>6147.4</v>
      </c>
      <c r="G31" s="15">
        <f t="shared" si="9"/>
        <v>5969.6</v>
      </c>
      <c r="H31" s="15"/>
      <c r="I31" s="15">
        <f t="shared" si="9"/>
        <v>4730.25</v>
      </c>
      <c r="J31" s="15"/>
      <c r="K31" s="15"/>
      <c r="L31" s="15"/>
      <c r="M31" s="15"/>
      <c r="N31" s="15">
        <f t="shared" si="9"/>
        <v>5468.166666666667</v>
      </c>
      <c r="P31" s="4" t="s">
        <v>15</v>
      </c>
      <c r="Q31" s="15">
        <f t="shared" si="8"/>
        <v>4001.84</v>
      </c>
      <c r="R31" s="15">
        <f t="shared" si="8"/>
        <v>3512.125</v>
      </c>
      <c r="S31" s="15">
        <f t="shared" si="8"/>
        <v>3642.8594594594597</v>
      </c>
      <c r="T31" s="15">
        <f t="shared" si="8"/>
        <v>4106.824561403509</v>
      </c>
      <c r="U31" s="15">
        <f t="shared" si="8"/>
        <v>3908.270880361174</v>
      </c>
      <c r="V31" s="15">
        <f t="shared" si="8"/>
        <v>3944.5723684210525</v>
      </c>
      <c r="W31" s="15">
        <f t="shared" si="8"/>
        <v>3792.7161172161173</v>
      </c>
      <c r="X31" s="15">
        <f t="shared" si="8"/>
        <v>3892.4018691588785</v>
      </c>
      <c r="Y31" s="15">
        <f>Y18/Y5</f>
        <v>3958.698175787728</v>
      </c>
      <c r="Z31" s="15">
        <f>Z18/Z5</f>
        <v>4059.295238095238</v>
      </c>
      <c r="AA31" s="15">
        <f>AA18/AA5</f>
        <v>2994.0975609756097</v>
      </c>
      <c r="AB31" s="15">
        <f>AB18/AB5</f>
        <v>3014.089552238806</v>
      </c>
      <c r="AC31" s="15">
        <f>AC18/AC5</f>
        <v>3847.689704823614</v>
      </c>
    </row>
    <row r="32" spans="1:29" ht="12.75">
      <c r="A32" s="4" t="s">
        <v>11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f>M19/M6</f>
        <v>10399.09090909091</v>
      </c>
      <c r="N32" s="15">
        <f>N19/N6</f>
        <v>10399.09090909091</v>
      </c>
      <c r="P32" s="4" t="s">
        <v>11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4" t="s">
        <v>80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P33" s="4" t="s">
        <v>80</v>
      </c>
      <c r="Q33" s="15">
        <f aca="true" t="shared" si="10" ref="Q33:AC37">Q20/Q7</f>
        <v>2869.62</v>
      </c>
      <c r="R33" s="15"/>
      <c r="S33" s="15">
        <f t="shared" si="10"/>
        <v>2916.8695652173915</v>
      </c>
      <c r="T33" s="15">
        <f t="shared" si="10"/>
        <v>2821.92</v>
      </c>
      <c r="U33" s="15">
        <f t="shared" si="10"/>
        <v>3076.3058823529414</v>
      </c>
      <c r="V33" s="15"/>
      <c r="W33" s="15">
        <f t="shared" si="10"/>
        <v>2731.4225352112676</v>
      </c>
      <c r="X33" s="15">
        <f t="shared" si="10"/>
        <v>2804.390243902439</v>
      </c>
      <c r="Y33" s="15">
        <f t="shared" si="10"/>
        <v>2838.0677966101694</v>
      </c>
      <c r="Z33" s="15">
        <f t="shared" si="10"/>
        <v>2834.5466666666666</v>
      </c>
      <c r="AA33" s="15">
        <f t="shared" si="10"/>
        <v>2811.3859649122805</v>
      </c>
      <c r="AB33" s="15">
        <f t="shared" si="10"/>
        <v>2917.1632653061224</v>
      </c>
      <c r="AC33" s="15">
        <f t="shared" si="10"/>
        <v>2868.67476635514</v>
      </c>
    </row>
    <row r="34" spans="1:29" ht="12.75">
      <c r="A34" s="4" t="s">
        <v>77</v>
      </c>
      <c r="B34" s="15">
        <f aca="true" t="shared" si="11" ref="B34:N34">B21/B8</f>
        <v>7733.854166666667</v>
      </c>
      <c r="C34" s="15">
        <f t="shared" si="11"/>
        <v>7887.194444444444</v>
      </c>
      <c r="D34" s="15">
        <f t="shared" si="11"/>
        <v>7637.268456375839</v>
      </c>
      <c r="E34" s="15">
        <f t="shared" si="11"/>
        <v>7595.484472049689</v>
      </c>
      <c r="F34" s="15">
        <f t="shared" si="11"/>
        <v>7835.426966292135</v>
      </c>
      <c r="G34" s="15">
        <f t="shared" si="11"/>
        <v>7907.86690647482</v>
      </c>
      <c r="H34" s="15">
        <f t="shared" si="11"/>
        <v>7760.503184713376</v>
      </c>
      <c r="I34" s="15">
        <f t="shared" si="11"/>
        <v>7696.980392156863</v>
      </c>
      <c r="J34" s="15">
        <f t="shared" si="11"/>
        <v>7477.502164502164</v>
      </c>
      <c r="K34" s="15">
        <f t="shared" si="11"/>
        <v>7897.434782608696</v>
      </c>
      <c r="L34" s="15">
        <f t="shared" si="11"/>
        <v>7725.508771929824</v>
      </c>
      <c r="M34" s="15">
        <f t="shared" si="11"/>
        <v>7762.969849246231</v>
      </c>
      <c r="N34" s="15">
        <f t="shared" si="11"/>
        <v>7741.869513168396</v>
      </c>
      <c r="P34" s="4" t="s">
        <v>77</v>
      </c>
      <c r="Q34" s="15">
        <f t="shared" si="10"/>
        <v>6462.523809523809</v>
      </c>
      <c r="R34" s="15">
        <f t="shared" si="10"/>
        <v>6073.62109375</v>
      </c>
      <c r="S34" s="15">
        <f t="shared" si="10"/>
        <v>6398.618644067797</v>
      </c>
      <c r="T34" s="15">
        <f t="shared" si="10"/>
        <v>6300.910256410257</v>
      </c>
      <c r="U34" s="15">
        <f t="shared" si="10"/>
        <v>6822.207920792079</v>
      </c>
      <c r="V34" s="15">
        <f t="shared" si="10"/>
        <v>6339.672566371682</v>
      </c>
      <c r="W34" s="15">
        <f t="shared" si="10"/>
        <v>6440.409302325582</v>
      </c>
      <c r="X34" s="15">
        <f t="shared" si="10"/>
        <v>6002.0679611650485</v>
      </c>
      <c r="Y34" s="15">
        <f t="shared" si="10"/>
        <v>5642.190582959642</v>
      </c>
      <c r="Z34" s="15">
        <f t="shared" si="10"/>
        <v>5417.096354166667</v>
      </c>
      <c r="AA34" s="15">
        <f t="shared" si="10"/>
        <v>5297.746268656716</v>
      </c>
      <c r="AB34" s="15">
        <f t="shared" si="10"/>
        <v>4983.530944625407</v>
      </c>
      <c r="AC34" s="15">
        <f t="shared" si="10"/>
        <v>6024.080487804878</v>
      </c>
    </row>
    <row r="35" spans="1:29" ht="12.75">
      <c r="A35" s="4" t="s">
        <v>18</v>
      </c>
      <c r="B35" s="15">
        <f aca="true" t="shared" si="12" ref="B35:N35">B22/B9</f>
        <v>5877.430183243979</v>
      </c>
      <c r="C35" s="15">
        <f t="shared" si="12"/>
        <v>5916.744779185211</v>
      </c>
      <c r="D35" s="15">
        <f t="shared" si="12"/>
        <v>5836.204720684925</v>
      </c>
      <c r="E35" s="15">
        <f t="shared" si="12"/>
        <v>5840.774403688114</v>
      </c>
      <c r="F35" s="15">
        <f t="shared" si="12"/>
        <v>5684.080454646757</v>
      </c>
      <c r="G35" s="15">
        <f t="shared" si="12"/>
        <v>5718.201308374894</v>
      </c>
      <c r="H35" s="15">
        <f t="shared" si="12"/>
        <v>5576.357939596071</v>
      </c>
      <c r="I35" s="15">
        <f t="shared" si="12"/>
        <v>5727.274764150943</v>
      </c>
      <c r="J35" s="15">
        <f t="shared" si="12"/>
        <v>5702.016827402727</v>
      </c>
      <c r="K35" s="15">
        <f t="shared" si="12"/>
        <v>5609.25179943144</v>
      </c>
      <c r="L35" s="15">
        <f t="shared" si="12"/>
        <v>5548.48821329865</v>
      </c>
      <c r="M35" s="15">
        <f t="shared" si="12"/>
        <v>5562.690868971315</v>
      </c>
      <c r="N35" s="15">
        <f t="shared" si="12"/>
        <v>5708.519439782447</v>
      </c>
      <c r="P35" s="4" t="s">
        <v>18</v>
      </c>
      <c r="Q35" s="15">
        <f t="shared" si="10"/>
        <v>2994.4706384961937</v>
      </c>
      <c r="R35" s="15">
        <f t="shared" si="10"/>
        <v>2819.2336819556454</v>
      </c>
      <c r="S35" s="15">
        <f t="shared" si="10"/>
        <v>2928.660001176263</v>
      </c>
      <c r="T35" s="15">
        <f t="shared" si="10"/>
        <v>2908.727473090723</v>
      </c>
      <c r="U35" s="15">
        <f t="shared" si="10"/>
        <v>2951.985326953748</v>
      </c>
      <c r="V35" s="15">
        <f t="shared" si="10"/>
        <v>2942.8866072581686</v>
      </c>
      <c r="W35" s="15">
        <f t="shared" si="10"/>
        <v>2792.1632090178678</v>
      </c>
      <c r="X35" s="15">
        <f t="shared" si="10"/>
        <v>2775.706468369743</v>
      </c>
      <c r="Y35" s="15">
        <f t="shared" si="10"/>
        <v>2773.789788617886</v>
      </c>
      <c r="Z35" s="15">
        <f t="shared" si="10"/>
        <v>2614.186495402541</v>
      </c>
      <c r="AA35" s="15">
        <f t="shared" si="10"/>
        <v>2631.6849032258065</v>
      </c>
      <c r="AB35" s="15">
        <f t="shared" si="10"/>
        <v>2737.1266368307643</v>
      </c>
      <c r="AC35" s="15">
        <f t="shared" si="10"/>
        <v>2821.9479714999734</v>
      </c>
    </row>
    <row r="36" spans="1:29" ht="12.75">
      <c r="A36" s="4" t="s">
        <v>19</v>
      </c>
      <c r="B36" s="15">
        <f aca="true" t="shared" si="13" ref="B36:N36">B23/B10</f>
        <v>6763.7476340694</v>
      </c>
      <c r="C36" s="15">
        <f t="shared" si="13"/>
        <v>6997.865203761756</v>
      </c>
      <c r="D36" s="15">
        <f t="shared" si="13"/>
        <v>7178.832020997375</v>
      </c>
      <c r="E36" s="15">
        <f t="shared" si="13"/>
        <v>7079.759036144578</v>
      </c>
      <c r="F36" s="15">
        <f t="shared" si="13"/>
        <v>7103.047008547009</v>
      </c>
      <c r="G36" s="15">
        <f t="shared" si="13"/>
        <v>6831.380191693291</v>
      </c>
      <c r="H36" s="15">
        <f t="shared" si="13"/>
        <v>7020.873051224944</v>
      </c>
      <c r="I36" s="15">
        <f t="shared" si="13"/>
        <v>7199.216901408451</v>
      </c>
      <c r="J36" s="15">
        <f t="shared" si="13"/>
        <v>7028.16976127321</v>
      </c>
      <c r="K36" s="15">
        <f t="shared" si="13"/>
        <v>6776.024064171123</v>
      </c>
      <c r="L36" s="15">
        <f t="shared" si="13"/>
        <v>6807.551083591331</v>
      </c>
      <c r="M36" s="15">
        <f t="shared" si="13"/>
        <v>7145.704225352113</v>
      </c>
      <c r="N36" s="15">
        <f t="shared" si="13"/>
        <v>7007.034628190899</v>
      </c>
      <c r="P36" s="4" t="s">
        <v>19</v>
      </c>
      <c r="Q36" s="15">
        <f t="shared" si="10"/>
        <v>3196.0299188640975</v>
      </c>
      <c r="R36" s="15">
        <f t="shared" si="10"/>
        <v>3223.0138736765243</v>
      </c>
      <c r="S36" s="15">
        <f t="shared" si="10"/>
        <v>3404.3313990973566</v>
      </c>
      <c r="T36" s="15">
        <f t="shared" si="10"/>
        <v>3343.9991539763114</v>
      </c>
      <c r="U36" s="15">
        <f t="shared" si="10"/>
        <v>3369.895294357303</v>
      </c>
      <c r="V36" s="15">
        <f t="shared" si="10"/>
        <v>3635.377425944842</v>
      </c>
      <c r="W36" s="15">
        <f t="shared" si="10"/>
        <v>3370.6855111111113</v>
      </c>
      <c r="X36" s="15">
        <f t="shared" si="10"/>
        <v>3384.822348319511</v>
      </c>
      <c r="Y36" s="15">
        <f t="shared" si="10"/>
        <v>3273.8412240184757</v>
      </c>
      <c r="Z36" s="15">
        <f t="shared" si="10"/>
        <v>3201.430784123911</v>
      </c>
      <c r="AA36" s="15">
        <f t="shared" si="10"/>
        <v>2893.292808219178</v>
      </c>
      <c r="AB36" s="15">
        <f t="shared" si="10"/>
        <v>3231.827333333333</v>
      </c>
      <c r="AC36" s="15">
        <f t="shared" si="10"/>
        <v>3330.0108984339226</v>
      </c>
    </row>
    <row r="37" spans="1:29" ht="12.75">
      <c r="A37" s="1" t="s">
        <v>20</v>
      </c>
      <c r="B37" s="17">
        <f aca="true" t="shared" si="14" ref="B37:N37">B24/B11</f>
        <v>5912.997908597986</v>
      </c>
      <c r="C37" s="17">
        <f t="shared" si="14"/>
        <v>5947.808444271152</v>
      </c>
      <c r="D37" s="17">
        <f t="shared" si="14"/>
        <v>5872.192884500023</v>
      </c>
      <c r="E37" s="17">
        <f t="shared" si="14"/>
        <v>5874.705217859064</v>
      </c>
      <c r="F37" s="17">
        <f t="shared" si="14"/>
        <v>5729.533656761674</v>
      </c>
      <c r="G37" s="17">
        <f t="shared" si="14"/>
        <v>5777.971125662613</v>
      </c>
      <c r="H37" s="17">
        <f t="shared" si="14"/>
        <v>5624.448212483782</v>
      </c>
      <c r="I37" s="17">
        <f t="shared" si="14"/>
        <v>5792.999514248705</v>
      </c>
      <c r="J37" s="17">
        <f t="shared" si="14"/>
        <v>5760.195998210062</v>
      </c>
      <c r="K37" s="17">
        <f t="shared" si="14"/>
        <v>5662.426200771299</v>
      </c>
      <c r="L37" s="17">
        <f t="shared" si="14"/>
        <v>5596.006524942118</v>
      </c>
      <c r="M37" s="17">
        <f t="shared" si="14"/>
        <v>5635.383028218873</v>
      </c>
      <c r="N37" s="17">
        <f t="shared" si="14"/>
        <v>5757.004510362525</v>
      </c>
      <c r="P37" s="1" t="s">
        <v>20</v>
      </c>
      <c r="Q37" s="17">
        <f t="shared" si="10"/>
        <v>3053.2227453580904</v>
      </c>
      <c r="R37" s="17">
        <f t="shared" si="10"/>
        <v>2926.479669664931</v>
      </c>
      <c r="S37" s="17">
        <f t="shared" si="10"/>
        <v>3046.656567621456</v>
      </c>
      <c r="T37" s="17">
        <f t="shared" si="10"/>
        <v>3055.747401789655</v>
      </c>
      <c r="U37" s="17">
        <f t="shared" si="10"/>
        <v>3116.921904761905</v>
      </c>
      <c r="V37" s="17">
        <f t="shared" si="10"/>
        <v>3169.723034373765</v>
      </c>
      <c r="W37" s="17">
        <f t="shared" si="10"/>
        <v>2984.9915219771624</v>
      </c>
      <c r="X37" s="17">
        <f t="shared" si="10"/>
        <v>2949.090973118911</v>
      </c>
      <c r="Y37" s="17">
        <f t="shared" si="10"/>
        <v>2933.4183600810647</v>
      </c>
      <c r="Z37" s="17">
        <f t="shared" si="10"/>
        <v>2731.5527061936864</v>
      </c>
      <c r="AA37" s="17">
        <f t="shared" si="10"/>
        <v>2693.930427641227</v>
      </c>
      <c r="AB37" s="17">
        <f t="shared" si="10"/>
        <v>2841.201126881107</v>
      </c>
      <c r="AC37" s="17">
        <f t="shared" si="10"/>
        <v>2965.392146053996</v>
      </c>
    </row>
    <row r="38" spans="1:16" ht="12.75">
      <c r="A38" s="5" t="s">
        <v>24</v>
      </c>
      <c r="P38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</cols>
  <sheetData>
    <row r="1" ht="12.75">
      <c r="A1" t="s">
        <v>85</v>
      </c>
    </row>
    <row r="2" ht="12.75">
      <c r="A2" t="s">
        <v>23</v>
      </c>
    </row>
    <row r="3" spans="1:14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</row>
    <row r="4" spans="1:14" ht="12.75">
      <c r="A4" s="4" t="s">
        <v>9</v>
      </c>
      <c r="B4" s="22">
        <v>25</v>
      </c>
      <c r="C4" s="22">
        <v>75</v>
      </c>
      <c r="D4" s="22"/>
      <c r="E4" s="22"/>
      <c r="F4" s="22"/>
      <c r="G4" s="22"/>
      <c r="H4" s="22"/>
      <c r="I4" s="22"/>
      <c r="J4" s="22"/>
      <c r="K4" s="8"/>
      <c r="L4" s="8"/>
      <c r="M4" s="8"/>
      <c r="N4" s="8">
        <f>SUM(B4:M4)</f>
        <v>100</v>
      </c>
    </row>
    <row r="5" spans="1:14" ht="12.75">
      <c r="A5" s="4" t="s">
        <v>81</v>
      </c>
      <c r="B5" s="22"/>
      <c r="C5" s="22"/>
      <c r="D5" s="22"/>
      <c r="E5" s="22"/>
      <c r="F5" s="22"/>
      <c r="G5" s="22"/>
      <c r="H5" s="22"/>
      <c r="I5" s="22"/>
      <c r="J5" s="22"/>
      <c r="K5" s="8"/>
      <c r="L5" s="8"/>
      <c r="M5" s="8"/>
      <c r="N5" s="8"/>
    </row>
    <row r="6" spans="1:14" ht="12.75">
      <c r="A6" s="4" t="s">
        <v>12</v>
      </c>
      <c r="B6" s="8"/>
      <c r="C6" s="8">
        <v>23</v>
      </c>
      <c r="D6" s="8"/>
      <c r="E6" s="8"/>
      <c r="F6" s="8"/>
      <c r="G6" s="8"/>
      <c r="H6" s="8"/>
      <c r="I6" s="8"/>
      <c r="J6" s="20"/>
      <c r="K6" s="8"/>
      <c r="L6" s="8"/>
      <c r="M6" s="8"/>
      <c r="N6" s="8">
        <f aca="true" t="shared" si="0" ref="N6:N13">SUM(B6:M6)</f>
        <v>23</v>
      </c>
    </row>
    <row r="7" spans="1:14" ht="12.75">
      <c r="A7" s="4" t="s">
        <v>82</v>
      </c>
      <c r="B7" s="8">
        <v>1368</v>
      </c>
      <c r="C7" s="8">
        <v>1285</v>
      </c>
      <c r="D7" s="8">
        <v>1649</v>
      </c>
      <c r="E7" s="8">
        <v>1310</v>
      </c>
      <c r="F7" s="8">
        <v>1010</v>
      </c>
      <c r="G7" s="8">
        <v>910</v>
      </c>
      <c r="H7" s="8">
        <v>49</v>
      </c>
      <c r="I7" s="8">
        <v>531</v>
      </c>
      <c r="J7" s="8">
        <v>786</v>
      </c>
      <c r="K7" s="8">
        <v>440</v>
      </c>
      <c r="L7" s="8">
        <v>50</v>
      </c>
      <c r="M7" s="8">
        <v>80</v>
      </c>
      <c r="N7" s="8">
        <f t="shared" si="0"/>
        <v>9468</v>
      </c>
    </row>
    <row r="8" spans="1:14" ht="12.75">
      <c r="A8" s="4" t="s">
        <v>83</v>
      </c>
      <c r="B8" s="8"/>
      <c r="C8" s="8"/>
      <c r="D8" s="8"/>
      <c r="E8" s="8"/>
      <c r="F8" s="8">
        <v>25</v>
      </c>
      <c r="G8" s="8">
        <v>25</v>
      </c>
      <c r="H8" s="8">
        <v>175</v>
      </c>
      <c r="I8" s="8">
        <v>101</v>
      </c>
      <c r="J8" s="8">
        <v>158</v>
      </c>
      <c r="K8" s="8">
        <v>544</v>
      </c>
      <c r="L8" s="8">
        <v>209</v>
      </c>
      <c r="M8" s="8">
        <v>451</v>
      </c>
      <c r="N8" s="8">
        <f t="shared" si="0"/>
        <v>1688</v>
      </c>
    </row>
    <row r="9" spans="1:14" ht="12.75">
      <c r="A9" s="4" t="s">
        <v>16</v>
      </c>
      <c r="B9" s="8">
        <v>150</v>
      </c>
      <c r="C9" s="8">
        <v>25</v>
      </c>
      <c r="D9" s="8">
        <v>50</v>
      </c>
      <c r="E9" s="8">
        <v>25</v>
      </c>
      <c r="F9" s="8"/>
      <c r="G9" s="8"/>
      <c r="H9" s="8"/>
      <c r="I9" s="8"/>
      <c r="J9" s="8">
        <v>200</v>
      </c>
      <c r="K9" s="8"/>
      <c r="L9" s="8">
        <v>149</v>
      </c>
      <c r="M9" s="8">
        <v>612</v>
      </c>
      <c r="N9" s="8">
        <f t="shared" si="0"/>
        <v>1211</v>
      </c>
    </row>
    <row r="10" spans="1:14" ht="12.75">
      <c r="A10" s="4" t="s">
        <v>17</v>
      </c>
      <c r="B10" s="8">
        <v>380</v>
      </c>
      <c r="C10" s="8">
        <v>86</v>
      </c>
      <c r="D10" s="8">
        <v>38</v>
      </c>
      <c r="E10" s="8">
        <v>52</v>
      </c>
      <c r="F10" s="8">
        <v>49</v>
      </c>
      <c r="G10" s="8">
        <v>51</v>
      </c>
      <c r="H10" s="8"/>
      <c r="I10" s="8"/>
      <c r="J10" s="8">
        <v>403</v>
      </c>
      <c r="K10" s="8">
        <v>1270</v>
      </c>
      <c r="L10" s="8">
        <v>1305</v>
      </c>
      <c r="M10" s="8">
        <v>2819</v>
      </c>
      <c r="N10" s="8">
        <f t="shared" si="0"/>
        <v>6453</v>
      </c>
    </row>
    <row r="11" spans="1:14" ht="12.75">
      <c r="A11" s="4" t="s">
        <v>84</v>
      </c>
      <c r="B11" s="8">
        <v>26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26</v>
      </c>
    </row>
    <row r="12" spans="1:14" ht="12.75">
      <c r="A12" s="4" t="s">
        <v>19</v>
      </c>
      <c r="B12" s="8">
        <v>97</v>
      </c>
      <c r="C12" s="25"/>
      <c r="D12" s="8"/>
      <c r="E12" s="8"/>
      <c r="F12" s="8">
        <v>20</v>
      </c>
      <c r="G12" s="8">
        <v>2</v>
      </c>
      <c r="H12" s="8">
        <v>29</v>
      </c>
      <c r="I12" s="8">
        <v>55</v>
      </c>
      <c r="J12" s="20"/>
      <c r="K12" s="8"/>
      <c r="L12" s="8"/>
      <c r="M12" s="8"/>
      <c r="N12" s="8">
        <f t="shared" si="0"/>
        <v>203</v>
      </c>
    </row>
    <row r="13" spans="1:14" ht="12.75">
      <c r="A13" s="1" t="s">
        <v>20</v>
      </c>
      <c r="B13" s="10">
        <f aca="true" t="shared" si="1" ref="B13:M13">SUM(B4:B12)</f>
        <v>2046</v>
      </c>
      <c r="C13" s="10">
        <f t="shared" si="1"/>
        <v>1494</v>
      </c>
      <c r="D13" s="10">
        <f t="shared" si="1"/>
        <v>1737</v>
      </c>
      <c r="E13" s="10">
        <f t="shared" si="1"/>
        <v>1387</v>
      </c>
      <c r="F13" s="10">
        <f t="shared" si="1"/>
        <v>1104</v>
      </c>
      <c r="G13" s="10">
        <f t="shared" si="1"/>
        <v>988</v>
      </c>
      <c r="H13" s="10">
        <f t="shared" si="1"/>
        <v>253</v>
      </c>
      <c r="I13" s="10">
        <f t="shared" si="1"/>
        <v>687</v>
      </c>
      <c r="J13" s="10">
        <f t="shared" si="1"/>
        <v>1547</v>
      </c>
      <c r="K13" s="10">
        <f t="shared" si="1"/>
        <v>2254</v>
      </c>
      <c r="L13" s="10">
        <f t="shared" si="1"/>
        <v>1713</v>
      </c>
      <c r="M13" s="10">
        <f t="shared" si="1"/>
        <v>3962</v>
      </c>
      <c r="N13" s="10">
        <f t="shared" si="0"/>
        <v>19172</v>
      </c>
    </row>
    <row r="14" ht="12.75">
      <c r="A14" s="5" t="s">
        <v>24</v>
      </c>
    </row>
    <row r="16" ht="12.75">
      <c r="A16" t="s">
        <v>85</v>
      </c>
    </row>
    <row r="17" ht="12.75">
      <c r="A17" t="s">
        <v>31</v>
      </c>
    </row>
    <row r="18" spans="1:14" ht="12.75">
      <c r="A18" s="1" t="s">
        <v>21</v>
      </c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  <c r="J18" s="2" t="s">
        <v>8</v>
      </c>
      <c r="K18" s="2" t="s">
        <v>28</v>
      </c>
      <c r="L18" s="2" t="s">
        <v>29</v>
      </c>
      <c r="M18" s="2" t="s">
        <v>30</v>
      </c>
      <c r="N18" s="6" t="s">
        <v>25</v>
      </c>
    </row>
    <row r="19" spans="1:14" ht="12.75">
      <c r="A19" s="4" t="s">
        <v>9</v>
      </c>
      <c r="B19" s="8">
        <v>29085</v>
      </c>
      <c r="C19" s="8">
        <f>56507+31473</f>
        <v>87980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>SUM(B19:M19)</f>
        <v>117065</v>
      </c>
    </row>
    <row r="20" spans="1:14" ht="12.75">
      <c r="A20" s="4" t="s">
        <v>81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4" t="s">
        <v>12</v>
      </c>
      <c r="B21" s="8"/>
      <c r="C21" s="8">
        <v>32937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aca="true" t="shared" si="2" ref="N21:N28">SUM(B21:M21)</f>
        <v>32937</v>
      </c>
    </row>
    <row r="22" spans="1:14" ht="12.75">
      <c r="A22" s="4" t="s">
        <v>82</v>
      </c>
      <c r="B22" s="8">
        <v>1878868</v>
      </c>
      <c r="C22" s="8">
        <v>1762373</v>
      </c>
      <c r="D22" s="8">
        <v>2138637</v>
      </c>
      <c r="E22" s="8">
        <v>1787529</v>
      </c>
      <c r="F22" s="8">
        <v>1517739</v>
      </c>
      <c r="G22" s="8">
        <v>1383431</v>
      </c>
      <c r="H22" s="8">
        <v>79040</v>
      </c>
      <c r="I22" s="8">
        <v>1003031</v>
      </c>
      <c r="J22" s="8">
        <v>1229458</v>
      </c>
      <c r="K22" s="8">
        <v>591445</v>
      </c>
      <c r="L22" s="8">
        <v>64483</v>
      </c>
      <c r="M22" s="8">
        <v>112216</v>
      </c>
      <c r="N22" s="8">
        <f t="shared" si="2"/>
        <v>13548250</v>
      </c>
    </row>
    <row r="23" spans="1:14" ht="12.75">
      <c r="A23" s="4" t="s">
        <v>83</v>
      </c>
      <c r="B23" s="8"/>
      <c r="C23" s="8"/>
      <c r="D23" s="8"/>
      <c r="E23" s="8"/>
      <c r="F23" s="8">
        <v>92971</v>
      </c>
      <c r="G23" s="8">
        <v>51400</v>
      </c>
      <c r="H23" s="8">
        <v>484286</v>
      </c>
      <c r="I23" s="8">
        <v>202915</v>
      </c>
      <c r="J23" s="8">
        <v>276051</v>
      </c>
      <c r="K23" s="8">
        <v>929280</v>
      </c>
      <c r="L23" s="8">
        <v>411423</v>
      </c>
      <c r="M23" s="8">
        <v>867565</v>
      </c>
      <c r="N23" s="8">
        <f t="shared" si="2"/>
        <v>3315891</v>
      </c>
    </row>
    <row r="24" spans="1:14" ht="12.75">
      <c r="A24" s="4" t="s">
        <v>16</v>
      </c>
      <c r="B24" s="8">
        <v>182056</v>
      </c>
      <c r="C24" s="8">
        <v>31537</v>
      </c>
      <c r="D24" s="8">
        <v>61952</v>
      </c>
      <c r="E24" s="8">
        <v>34952</v>
      </c>
      <c r="F24" s="8"/>
      <c r="G24" s="8"/>
      <c r="H24" s="8"/>
      <c r="J24" s="8">
        <v>317865</v>
      </c>
      <c r="K24" s="8"/>
      <c r="L24" s="8">
        <v>240673</v>
      </c>
      <c r="M24" s="8">
        <v>973439</v>
      </c>
      <c r="N24" s="8">
        <f t="shared" si="2"/>
        <v>1842474</v>
      </c>
    </row>
    <row r="25" spans="1:14" ht="12.75">
      <c r="A25" s="4" t="s">
        <v>17</v>
      </c>
      <c r="B25" s="8">
        <v>481772</v>
      </c>
      <c r="C25" s="8">
        <v>109405</v>
      </c>
      <c r="D25" s="8">
        <v>69921</v>
      </c>
      <c r="E25" s="8">
        <v>87685</v>
      </c>
      <c r="F25" s="8">
        <v>87534</v>
      </c>
      <c r="G25" s="8">
        <v>68873</v>
      </c>
      <c r="H25" s="8"/>
      <c r="I25" s="8"/>
      <c r="J25" s="8">
        <v>681998</v>
      </c>
      <c r="K25" s="8">
        <v>1917703</v>
      </c>
      <c r="L25" s="8">
        <v>1854473</v>
      </c>
      <c r="M25" s="8">
        <v>4644842</v>
      </c>
      <c r="N25" s="8">
        <f t="shared" si="2"/>
        <v>10004206</v>
      </c>
    </row>
    <row r="26" spans="1:14" ht="12.75">
      <c r="A26" s="4" t="s">
        <v>84</v>
      </c>
      <c r="B26" s="8">
        <v>27223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2"/>
        <v>27223</v>
      </c>
    </row>
    <row r="27" spans="1:14" ht="12.75">
      <c r="A27" s="4" t="s">
        <v>19</v>
      </c>
      <c r="B27" s="8">
        <v>113046</v>
      </c>
      <c r="C27" s="8"/>
      <c r="D27" s="8"/>
      <c r="E27" s="8"/>
      <c r="F27" s="8">
        <v>20969</v>
      </c>
      <c r="G27" s="8">
        <v>3111</v>
      </c>
      <c r="H27" s="8">
        <v>8383</v>
      </c>
      <c r="I27" s="8">
        <v>53282</v>
      </c>
      <c r="J27" s="8"/>
      <c r="K27" s="8">
        <f>17569+16802</f>
        <v>34371</v>
      </c>
      <c r="L27" s="8">
        <v>4353</v>
      </c>
      <c r="M27" s="8"/>
      <c r="N27" s="8">
        <f t="shared" si="2"/>
        <v>237515</v>
      </c>
    </row>
    <row r="28" spans="1:14" ht="12.75">
      <c r="A28" s="1" t="s">
        <v>20</v>
      </c>
      <c r="B28" s="10">
        <f aca="true" t="shared" si="3" ref="B28:M28">SUM(B19:B27)</f>
        <v>2712050</v>
      </c>
      <c r="C28" s="10">
        <f t="shared" si="3"/>
        <v>2024232</v>
      </c>
      <c r="D28" s="10">
        <f t="shared" si="3"/>
        <v>2270510</v>
      </c>
      <c r="E28" s="10">
        <f t="shared" si="3"/>
        <v>1910166</v>
      </c>
      <c r="F28" s="10">
        <f t="shared" si="3"/>
        <v>1719213</v>
      </c>
      <c r="G28" s="10">
        <f t="shared" si="3"/>
        <v>1506815</v>
      </c>
      <c r="H28" s="10">
        <f t="shared" si="3"/>
        <v>571709</v>
      </c>
      <c r="I28" s="10">
        <f t="shared" si="3"/>
        <v>1259228</v>
      </c>
      <c r="J28" s="10">
        <f t="shared" si="3"/>
        <v>2505372</v>
      </c>
      <c r="K28" s="10">
        <f t="shared" si="3"/>
        <v>3472799</v>
      </c>
      <c r="L28" s="10">
        <f t="shared" si="3"/>
        <v>2575405</v>
      </c>
      <c r="M28" s="10">
        <f t="shared" si="3"/>
        <v>6598062</v>
      </c>
      <c r="N28" s="10">
        <f t="shared" si="2"/>
        <v>29125561</v>
      </c>
    </row>
    <row r="29" ht="12.75">
      <c r="A29" s="5" t="s">
        <v>24</v>
      </c>
    </row>
    <row r="31" ht="12.75">
      <c r="A31" t="s">
        <v>85</v>
      </c>
    </row>
    <row r="32" ht="12.75">
      <c r="A32" t="s">
        <v>32</v>
      </c>
    </row>
    <row r="33" spans="1:14" ht="12.75">
      <c r="A33" s="1" t="s">
        <v>21</v>
      </c>
      <c r="B33" s="2" t="s">
        <v>0</v>
      </c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28</v>
      </c>
      <c r="L33" s="2" t="s">
        <v>29</v>
      </c>
      <c r="M33" s="2" t="s">
        <v>30</v>
      </c>
      <c r="N33" s="6" t="s">
        <v>25</v>
      </c>
    </row>
    <row r="34" spans="1:14" ht="12.75">
      <c r="A34" s="4" t="s">
        <v>9</v>
      </c>
      <c r="B34" s="15">
        <f>B19/B4</f>
        <v>1163.4</v>
      </c>
      <c r="C34" s="15">
        <f>C19/C4</f>
        <v>1173.0666666666666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>
        <f>N19/N4</f>
        <v>1170.65</v>
      </c>
    </row>
    <row r="35" spans="1:14" ht="12.75">
      <c r="A35" s="4" t="s">
        <v>81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4" t="s">
        <v>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>
        <f>N21/N6</f>
        <v>1432.0434782608695</v>
      </c>
    </row>
    <row r="37" spans="1:14" ht="12.75">
      <c r="A37" s="4" t="s">
        <v>82</v>
      </c>
      <c r="B37" s="15">
        <f aca="true" t="shared" si="4" ref="B37:N37">B22/B7</f>
        <v>1373.4415204678362</v>
      </c>
      <c r="C37" s="15">
        <f t="shared" si="4"/>
        <v>1371.4964980544746</v>
      </c>
      <c r="D37" s="15">
        <f t="shared" si="4"/>
        <v>1296.9296543359612</v>
      </c>
      <c r="E37" s="15">
        <f t="shared" si="4"/>
        <v>1364.5259541984733</v>
      </c>
      <c r="F37" s="15">
        <f t="shared" si="4"/>
        <v>1502.711881188119</v>
      </c>
      <c r="G37" s="15">
        <f t="shared" si="4"/>
        <v>1520.253846153846</v>
      </c>
      <c r="H37" s="15">
        <f t="shared" si="4"/>
        <v>1613.061224489796</v>
      </c>
      <c r="I37" s="15">
        <f t="shared" si="4"/>
        <v>1888.9472693032014</v>
      </c>
      <c r="J37" s="15">
        <f t="shared" si="4"/>
        <v>1564.1959287531806</v>
      </c>
      <c r="K37" s="15">
        <f t="shared" si="4"/>
        <v>1344.1931818181818</v>
      </c>
      <c r="L37" s="15">
        <f t="shared" si="4"/>
        <v>1289.66</v>
      </c>
      <c r="M37" s="15">
        <f t="shared" si="4"/>
        <v>1402.7</v>
      </c>
      <c r="N37" s="15">
        <f t="shared" si="4"/>
        <v>1430.9516265314744</v>
      </c>
    </row>
    <row r="38" spans="1:14" ht="12.75">
      <c r="A38" s="4" t="s">
        <v>83</v>
      </c>
      <c r="B38" s="15"/>
      <c r="C38" s="15"/>
      <c r="D38" s="15"/>
      <c r="E38" s="15"/>
      <c r="F38" s="15">
        <f>F23/F8</f>
        <v>3718.84</v>
      </c>
      <c r="G38" s="15">
        <f>G23/G8</f>
        <v>2056</v>
      </c>
      <c r="H38" s="15">
        <f>H23/H8</f>
        <v>2767.3485714285716</v>
      </c>
      <c r="I38" s="15">
        <f aca="true" t="shared" si="5" ref="I38:N38">I23/I8</f>
        <v>2009.0594059405942</v>
      </c>
      <c r="J38" s="15">
        <f t="shared" si="5"/>
        <v>1747.1582278481012</v>
      </c>
      <c r="K38" s="15">
        <f t="shared" si="5"/>
        <v>1708.235294117647</v>
      </c>
      <c r="L38" s="15">
        <f t="shared" si="5"/>
        <v>1968.531100478469</v>
      </c>
      <c r="M38" s="15">
        <f t="shared" si="5"/>
        <v>1923.6474501108648</v>
      </c>
      <c r="N38" s="15">
        <f t="shared" si="5"/>
        <v>1964.3904028436018</v>
      </c>
    </row>
    <row r="39" spans="1:14" ht="12.75">
      <c r="A39" s="4" t="s">
        <v>16</v>
      </c>
      <c r="B39" s="15">
        <f aca="true" t="shared" si="6" ref="B39:E40">B24/B9</f>
        <v>1213.7066666666667</v>
      </c>
      <c r="C39" s="15">
        <f t="shared" si="6"/>
        <v>1261.48</v>
      </c>
      <c r="D39" s="15">
        <f t="shared" si="6"/>
        <v>1239.04</v>
      </c>
      <c r="E39" s="15">
        <f t="shared" si="6"/>
        <v>1398.08</v>
      </c>
      <c r="F39" s="15"/>
      <c r="G39" s="15"/>
      <c r="H39" s="15"/>
      <c r="I39" s="15"/>
      <c r="J39" s="15">
        <f>J24/J9</f>
        <v>1589.325</v>
      </c>
      <c r="K39" s="15"/>
      <c r="L39" s="15">
        <f aca="true" t="shared" si="7" ref="L39:N40">L24/L9</f>
        <v>1615.255033557047</v>
      </c>
      <c r="M39" s="15">
        <f t="shared" si="7"/>
        <v>1590.5866013071895</v>
      </c>
      <c r="N39" s="15">
        <f t="shared" si="7"/>
        <v>1521.4483897605285</v>
      </c>
    </row>
    <row r="40" spans="1:14" ht="12.75">
      <c r="A40" s="4" t="s">
        <v>17</v>
      </c>
      <c r="B40" s="15">
        <f t="shared" si="6"/>
        <v>1267.821052631579</v>
      </c>
      <c r="C40" s="15">
        <f t="shared" si="6"/>
        <v>1272.1511627906978</v>
      </c>
      <c r="D40" s="15">
        <f t="shared" si="6"/>
        <v>1840.0263157894738</v>
      </c>
      <c r="E40" s="15">
        <f t="shared" si="6"/>
        <v>1686.25</v>
      </c>
      <c r="F40" s="15">
        <f>F25/F10</f>
        <v>1786.408163265306</v>
      </c>
      <c r="G40" s="15">
        <f>G25/G10</f>
        <v>1350.450980392157</v>
      </c>
      <c r="H40" s="15"/>
      <c r="I40" s="15"/>
      <c r="J40" s="15">
        <f>J25/J10</f>
        <v>1692.302729528536</v>
      </c>
      <c r="K40" s="15">
        <f>K25/K10</f>
        <v>1510.0023622047245</v>
      </c>
      <c r="L40" s="15">
        <f t="shared" si="7"/>
        <v>1421.0521072796935</v>
      </c>
      <c r="M40" s="15">
        <f t="shared" si="7"/>
        <v>1647.691379921958</v>
      </c>
      <c r="N40" s="15">
        <f t="shared" si="7"/>
        <v>1550.3186114985278</v>
      </c>
    </row>
    <row r="41" spans="1:14" ht="12.75">
      <c r="A41" s="4" t="s">
        <v>84</v>
      </c>
      <c r="B41" s="15">
        <f>B26/B11</f>
        <v>1047.0384615384614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>N26/N11</f>
        <v>1047.0384615384614</v>
      </c>
    </row>
    <row r="42" spans="1:14" ht="12.75">
      <c r="A42" s="4" t="s">
        <v>19</v>
      </c>
      <c r="B42" s="15">
        <f>B27/B12</f>
        <v>1165.4226804123712</v>
      </c>
      <c r="C42" s="15"/>
      <c r="D42" s="15"/>
      <c r="E42" s="15"/>
      <c r="F42" s="15">
        <f aca="true" t="shared" si="8" ref="F42:N43">F27/F12</f>
        <v>1048.45</v>
      </c>
      <c r="G42" s="15">
        <f t="shared" si="8"/>
        <v>1555.5</v>
      </c>
      <c r="H42" s="15">
        <f t="shared" si="8"/>
        <v>289.0689655172414</v>
      </c>
      <c r="I42" s="15">
        <f t="shared" si="8"/>
        <v>968.7636363636364</v>
      </c>
      <c r="J42" s="15"/>
      <c r="K42" s="15"/>
      <c r="L42" s="15"/>
      <c r="M42" s="15"/>
      <c r="N42" s="15">
        <f t="shared" si="8"/>
        <v>1170.0246305418718</v>
      </c>
    </row>
    <row r="43" spans="1:14" ht="12.75">
      <c r="A43" s="1" t="s">
        <v>20</v>
      </c>
      <c r="B43" s="17">
        <f>B28/B13</f>
        <v>1325.5376344086021</v>
      </c>
      <c r="C43" s="17">
        <f>C28/C13</f>
        <v>1354.9076305220883</v>
      </c>
      <c r="D43" s="17">
        <f>D28/D13</f>
        <v>1307.1445020149683</v>
      </c>
      <c r="E43" s="17">
        <f>E28/E13</f>
        <v>1377.1925018024513</v>
      </c>
      <c r="F43" s="17">
        <f t="shared" si="8"/>
        <v>1557.258152173913</v>
      </c>
      <c r="G43" s="17">
        <f t="shared" si="8"/>
        <v>1525.1163967611335</v>
      </c>
      <c r="H43" s="17">
        <f t="shared" si="8"/>
        <v>2259.719367588933</v>
      </c>
      <c r="I43" s="17">
        <f t="shared" si="8"/>
        <v>1832.9374090247452</v>
      </c>
      <c r="J43" s="17">
        <f t="shared" si="8"/>
        <v>1619.5035552682612</v>
      </c>
      <c r="K43" s="17">
        <f t="shared" si="8"/>
        <v>1540.7271517302572</v>
      </c>
      <c r="L43" s="17">
        <f t="shared" si="8"/>
        <v>1503.4471687098658</v>
      </c>
      <c r="M43" s="17">
        <f t="shared" si="8"/>
        <v>1665.3361938414942</v>
      </c>
      <c r="N43" s="17">
        <f t="shared" si="8"/>
        <v>1519.1717609013144</v>
      </c>
    </row>
    <row r="44" ht="12.75">
      <c r="A44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workbookViewId="0" topLeftCell="A1">
      <selection activeCell="N56" sqref="N56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36</v>
      </c>
      <c r="P1" t="s">
        <v>37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49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49" t="s">
        <v>25</v>
      </c>
    </row>
    <row r="4" spans="1:29" ht="12.75">
      <c r="A4" s="3" t="s">
        <v>9</v>
      </c>
      <c r="B4" s="7">
        <f>177+364+442+1+824+231+4+1+141</f>
        <v>2185</v>
      </c>
      <c r="C4" s="7">
        <f>193+507+542+16+1182+231+209+4+322</f>
        <v>3206</v>
      </c>
      <c r="D4" s="7">
        <f>294+652+630+6+1064+196+43+3+300</f>
        <v>3188</v>
      </c>
      <c r="E4" s="7">
        <f>208+378+476+2+1006+198+2+4+1+204</f>
        <v>2479</v>
      </c>
      <c r="F4" s="7">
        <f>236+384+535+10+1118+260+3+3+226</f>
        <v>2775</v>
      </c>
      <c r="G4" s="7">
        <f>326+501+549+2+956+231+47+5+227</f>
        <v>2844</v>
      </c>
      <c r="H4" s="7">
        <f>239+527+580+3+1447+211+7+5+366</f>
        <v>3385</v>
      </c>
      <c r="I4" s="7">
        <v>2932</v>
      </c>
      <c r="J4" s="7">
        <v>3434</v>
      </c>
      <c r="K4" s="7">
        <v>3686</v>
      </c>
      <c r="L4" s="7">
        <v>3846</v>
      </c>
      <c r="M4" s="67">
        <v>4970</v>
      </c>
      <c r="N4" s="7">
        <f>SUM(B4:M4)</f>
        <v>38930</v>
      </c>
      <c r="P4" s="3" t="s">
        <v>9</v>
      </c>
      <c r="Q4" s="7">
        <f>43+335+166+112+59+20+5+1</f>
        <v>741</v>
      </c>
      <c r="R4" s="7">
        <f>93+454+89+19+10+62+17</f>
        <v>744</v>
      </c>
      <c r="S4" s="7">
        <f>171+525+80+1+9+60+44+3</f>
        <v>893</v>
      </c>
      <c r="T4" s="7">
        <f>47+332+43+68+8+44+22+5</f>
        <v>569</v>
      </c>
      <c r="U4" s="7">
        <f>33+251+256+68+10+60+44+41+2</f>
        <v>765</v>
      </c>
      <c r="V4" s="7">
        <f>93+208+110+34+7+22+25+4+16</f>
        <v>519</v>
      </c>
      <c r="W4" s="7">
        <f>39+543+71+1+4+15+2+13</f>
        <v>688</v>
      </c>
      <c r="X4" s="7">
        <v>785</v>
      </c>
      <c r="Y4" s="7">
        <v>752</v>
      </c>
      <c r="Z4" s="7">
        <v>708</v>
      </c>
      <c r="AA4" s="7">
        <v>831</v>
      </c>
      <c r="AB4" s="67">
        <v>562</v>
      </c>
      <c r="AC4" s="7">
        <f>SUM(Q4:AB4)</f>
        <v>8557</v>
      </c>
    </row>
    <row r="5" spans="1:29" ht="12.75">
      <c r="A5" s="4" t="s">
        <v>27</v>
      </c>
      <c r="B5" s="8">
        <v>5</v>
      </c>
      <c r="C5" s="8">
        <v>3</v>
      </c>
      <c r="D5" s="8">
        <f>21+4</f>
        <v>25</v>
      </c>
      <c r="E5" s="8">
        <f>12+1</f>
        <v>13</v>
      </c>
      <c r="F5" s="8">
        <f>10+3</f>
        <v>13</v>
      </c>
      <c r="G5" s="8">
        <f>6+1+3</f>
        <v>10</v>
      </c>
      <c r="H5" s="8">
        <f>4+3</f>
        <v>7</v>
      </c>
      <c r="I5" s="8">
        <v>6</v>
      </c>
      <c r="J5" s="8">
        <v>5</v>
      </c>
      <c r="K5" s="8">
        <v>15</v>
      </c>
      <c r="L5" s="8">
        <v>24</v>
      </c>
      <c r="M5" s="47">
        <v>16</v>
      </c>
      <c r="N5" s="8">
        <f aca="true" t="shared" si="0" ref="N5:N15">SUM(B5:M5)</f>
        <v>142</v>
      </c>
      <c r="P5" s="4" t="s">
        <v>27</v>
      </c>
      <c r="Q5" s="8">
        <v>35</v>
      </c>
      <c r="R5" s="8">
        <v>8</v>
      </c>
      <c r="S5" s="8"/>
      <c r="T5" s="8">
        <v>9</v>
      </c>
      <c r="U5" s="8">
        <v>40</v>
      </c>
      <c r="V5" s="8"/>
      <c r="W5" s="8"/>
      <c r="X5" s="8"/>
      <c r="Y5" s="8"/>
      <c r="Z5" s="8">
        <v>9</v>
      </c>
      <c r="AA5" s="8">
        <v>1</v>
      </c>
      <c r="AB5" s="47">
        <v>5</v>
      </c>
      <c r="AC5" s="8">
        <f aca="true" t="shared" si="1" ref="AC5:AC18">SUM(Q5:AB5)</f>
        <v>107</v>
      </c>
    </row>
    <row r="6" spans="1:29" ht="12.75">
      <c r="A6" s="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7"/>
      <c r="N6" s="8"/>
      <c r="P6" s="4" t="s">
        <v>10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47"/>
      <c r="AC6" s="8"/>
    </row>
    <row r="7" spans="1:29" ht="12.75">
      <c r="A7" s="4" t="s">
        <v>33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7"/>
      <c r="N7" s="8"/>
      <c r="P7" s="4" t="s">
        <v>33</v>
      </c>
      <c r="Q7" s="8">
        <v>16</v>
      </c>
      <c r="R7" s="8"/>
      <c r="S7" s="8">
        <v>18</v>
      </c>
      <c r="T7" s="8">
        <v>18</v>
      </c>
      <c r="U7" s="8"/>
      <c r="V7" s="8"/>
      <c r="W7" s="8"/>
      <c r="X7" s="8"/>
      <c r="Y7" s="8"/>
      <c r="Z7" s="8"/>
      <c r="AA7" s="8"/>
      <c r="AB7" s="47"/>
      <c r="AC7" s="8">
        <f t="shared" si="1"/>
        <v>52</v>
      </c>
    </row>
    <row r="8" spans="1:29" ht="12.75">
      <c r="A8" s="4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7">
        <v>1</v>
      </c>
      <c r="N8" s="8">
        <f t="shared" si="0"/>
        <v>1</v>
      </c>
      <c r="P8" s="4" t="s">
        <v>11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47"/>
      <c r="AC8" s="8"/>
    </row>
    <row r="9" spans="1:29" ht="12.75">
      <c r="A9" s="4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7"/>
      <c r="N9" s="8"/>
      <c r="P9" s="4" t="s">
        <v>12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47"/>
      <c r="AC9" s="8"/>
    </row>
    <row r="10" spans="1:29" ht="12.75">
      <c r="A10" s="4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7"/>
      <c r="N10" s="8"/>
      <c r="P10" s="4" t="s">
        <v>13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47"/>
      <c r="AC10" s="8"/>
    </row>
    <row r="11" spans="1:29" ht="12.75">
      <c r="A11" s="4" t="s">
        <v>14</v>
      </c>
      <c r="B11" s="8">
        <v>271</v>
      </c>
      <c r="C11" s="8">
        <v>393</v>
      </c>
      <c r="D11" s="8">
        <v>490</v>
      </c>
      <c r="E11" s="8">
        <v>982</v>
      </c>
      <c r="F11" s="8">
        <v>821</v>
      </c>
      <c r="G11" s="8">
        <v>689</v>
      </c>
      <c r="H11" s="8">
        <v>806</v>
      </c>
      <c r="I11" s="8">
        <v>912</v>
      </c>
      <c r="J11" s="8">
        <v>558</v>
      </c>
      <c r="K11" s="8">
        <v>770</v>
      </c>
      <c r="L11" s="8">
        <v>430</v>
      </c>
      <c r="M11" s="47">
        <v>427</v>
      </c>
      <c r="N11" s="8">
        <f t="shared" si="0"/>
        <v>7549</v>
      </c>
      <c r="P11" s="4" t="s">
        <v>14</v>
      </c>
      <c r="Q11" s="8">
        <v>2784</v>
      </c>
      <c r="R11" s="8">
        <v>3089</v>
      </c>
      <c r="S11" s="8">
        <v>4418</v>
      </c>
      <c r="T11" s="8">
        <v>5940</v>
      </c>
      <c r="U11" s="8">
        <v>1408</v>
      </c>
      <c r="V11" s="8">
        <v>858</v>
      </c>
      <c r="W11" s="8">
        <v>3287</v>
      </c>
      <c r="X11" s="8">
        <v>3305</v>
      </c>
      <c r="Y11" s="8">
        <v>3096</v>
      </c>
      <c r="Z11" s="8">
        <v>3634</v>
      </c>
      <c r="AA11" s="8">
        <v>3105</v>
      </c>
      <c r="AB11" s="47">
        <v>2620</v>
      </c>
      <c r="AC11" s="8">
        <f t="shared" si="1"/>
        <v>37544</v>
      </c>
    </row>
    <row r="12" spans="1:29" ht="12.75">
      <c r="A12" s="4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7"/>
      <c r="N12" s="8"/>
      <c r="P12" s="4" t="s">
        <v>15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47"/>
      <c r="AC12" s="8"/>
    </row>
    <row r="13" spans="1:29" ht="12.75">
      <c r="A13" s="4" t="s">
        <v>16</v>
      </c>
      <c r="B13" s="8"/>
      <c r="C13" s="8"/>
      <c r="D13" s="8"/>
      <c r="E13" s="8">
        <v>9</v>
      </c>
      <c r="F13" s="8"/>
      <c r="G13" s="8">
        <v>8</v>
      </c>
      <c r="H13" s="8">
        <v>6</v>
      </c>
      <c r="I13" s="8"/>
      <c r="J13" s="8">
        <v>8</v>
      </c>
      <c r="K13" s="8">
        <v>9</v>
      </c>
      <c r="L13" s="8">
        <v>20</v>
      </c>
      <c r="M13" s="47">
        <v>31</v>
      </c>
      <c r="N13" s="8">
        <f t="shared" si="0"/>
        <v>91</v>
      </c>
      <c r="P13" s="4" t="s">
        <v>16</v>
      </c>
      <c r="Q13" s="8"/>
      <c r="R13" s="8">
        <v>8</v>
      </c>
      <c r="S13" s="8"/>
      <c r="T13" s="8">
        <v>10</v>
      </c>
      <c r="U13" s="8">
        <v>2</v>
      </c>
      <c r="V13" s="8"/>
      <c r="W13" s="8"/>
      <c r="X13" s="8">
        <v>3</v>
      </c>
      <c r="Y13" s="8">
        <v>1</v>
      </c>
      <c r="Z13" s="8">
        <v>2</v>
      </c>
      <c r="AA13" s="8">
        <v>5</v>
      </c>
      <c r="AB13" s="47">
        <v>12</v>
      </c>
      <c r="AC13" s="8">
        <f t="shared" si="1"/>
        <v>43</v>
      </c>
    </row>
    <row r="14" spans="1:29" ht="12.75">
      <c r="A14" s="4" t="s">
        <v>17</v>
      </c>
      <c r="B14" s="8">
        <v>419</v>
      </c>
      <c r="C14" s="8">
        <v>480</v>
      </c>
      <c r="D14" s="8">
        <v>429</v>
      </c>
      <c r="E14" s="8">
        <v>832</v>
      </c>
      <c r="F14" s="8">
        <v>829</v>
      </c>
      <c r="G14" s="8">
        <v>1102</v>
      </c>
      <c r="H14" s="8">
        <v>935</v>
      </c>
      <c r="I14" s="8">
        <v>741</v>
      </c>
      <c r="J14" s="8">
        <v>713</v>
      </c>
      <c r="K14" s="8">
        <v>869</v>
      </c>
      <c r="L14" s="8">
        <v>813</v>
      </c>
      <c r="M14" s="47">
        <v>795</v>
      </c>
      <c r="N14" s="8">
        <f t="shared" si="0"/>
        <v>8957</v>
      </c>
      <c r="P14" s="4" t="s">
        <v>17</v>
      </c>
      <c r="Q14" s="8"/>
      <c r="R14" s="8">
        <v>26</v>
      </c>
      <c r="S14" s="8">
        <v>109</v>
      </c>
      <c r="T14" s="8">
        <v>112</v>
      </c>
      <c r="U14" s="8">
        <v>68</v>
      </c>
      <c r="V14" s="8"/>
      <c r="W14" s="8"/>
      <c r="X14" s="8">
        <v>10</v>
      </c>
      <c r="Y14" s="8"/>
      <c r="Z14" s="8"/>
      <c r="AA14" s="8"/>
      <c r="AB14" s="47">
        <v>22</v>
      </c>
      <c r="AC14" s="8">
        <f t="shared" si="1"/>
        <v>347</v>
      </c>
    </row>
    <row r="15" spans="1:29" ht="12.75">
      <c r="A15" s="4" t="s">
        <v>18</v>
      </c>
      <c r="B15" s="8"/>
      <c r="C15" s="8"/>
      <c r="D15" s="8"/>
      <c r="E15" s="8"/>
      <c r="F15" s="8"/>
      <c r="G15" s="8">
        <v>13</v>
      </c>
      <c r="H15" s="8"/>
      <c r="I15" s="8"/>
      <c r="J15" s="8"/>
      <c r="K15" s="8"/>
      <c r="L15" s="8"/>
      <c r="M15" s="47"/>
      <c r="N15" s="8">
        <f t="shared" si="0"/>
        <v>13</v>
      </c>
      <c r="P15" s="4" t="s">
        <v>18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47"/>
      <c r="AC15" s="8"/>
    </row>
    <row r="16" spans="1:29" ht="12.75">
      <c r="A16" s="4" t="s">
        <v>19</v>
      </c>
      <c r="B16" s="8"/>
      <c r="C16" s="8"/>
      <c r="D16" s="8"/>
      <c r="E16" s="8"/>
      <c r="F16" s="8"/>
      <c r="G16" s="19">
        <f>G36/G56</f>
        <v>0.17798838733238517</v>
      </c>
      <c r="H16" s="8"/>
      <c r="I16" s="8"/>
      <c r="J16" s="8"/>
      <c r="K16" s="8"/>
      <c r="L16" s="8"/>
      <c r="M16" s="47"/>
      <c r="N16" s="8"/>
      <c r="P16" s="4" t="s">
        <v>19</v>
      </c>
      <c r="Q16" s="8"/>
      <c r="R16" s="8"/>
      <c r="S16" s="8"/>
      <c r="T16" s="8"/>
      <c r="U16" s="8"/>
      <c r="V16" s="8">
        <v>6</v>
      </c>
      <c r="W16" s="8"/>
      <c r="X16" s="8"/>
      <c r="Y16" s="8"/>
      <c r="Z16" s="8"/>
      <c r="AA16" s="8"/>
      <c r="AB16" s="47">
        <v>3</v>
      </c>
      <c r="AC16" s="8">
        <f t="shared" si="1"/>
        <v>9</v>
      </c>
    </row>
    <row r="17" spans="1:29" ht="12.75">
      <c r="A17" s="11" t="s">
        <v>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/>
      <c r="O17" s="68"/>
      <c r="P17" s="11" t="s">
        <v>35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9"/>
    </row>
    <row r="18" spans="1:29" ht="12.75">
      <c r="A18" s="1" t="s">
        <v>20</v>
      </c>
      <c r="B18" s="10">
        <f>SUM(B4:B17)</f>
        <v>2880</v>
      </c>
      <c r="C18" s="10">
        <f aca="true" t="shared" si="2" ref="C18:N18">SUM(C4:C17)</f>
        <v>4082</v>
      </c>
      <c r="D18" s="10">
        <f t="shared" si="2"/>
        <v>4132</v>
      </c>
      <c r="E18" s="10">
        <f t="shared" si="2"/>
        <v>4315</v>
      </c>
      <c r="F18" s="10">
        <f t="shared" si="2"/>
        <v>4438</v>
      </c>
      <c r="G18" s="10">
        <f t="shared" si="2"/>
        <v>4666.177988387332</v>
      </c>
      <c r="H18" s="10">
        <f t="shared" si="2"/>
        <v>5139</v>
      </c>
      <c r="I18" s="10">
        <f t="shared" si="2"/>
        <v>4591</v>
      </c>
      <c r="J18" s="10">
        <f t="shared" si="2"/>
        <v>4718</v>
      </c>
      <c r="K18" s="10">
        <f t="shared" si="2"/>
        <v>5349</v>
      </c>
      <c r="L18" s="10">
        <f t="shared" si="2"/>
        <v>5133</v>
      </c>
      <c r="M18" s="10">
        <f t="shared" si="2"/>
        <v>6240</v>
      </c>
      <c r="N18" s="9">
        <f t="shared" si="2"/>
        <v>55683</v>
      </c>
      <c r="P18" s="1" t="s">
        <v>20</v>
      </c>
      <c r="Q18" s="10">
        <f>SUM(Q4:Q17)</f>
        <v>3576</v>
      </c>
      <c r="R18" s="10">
        <f aca="true" t="shared" si="3" ref="R18:AB18">SUM(R4:R17)</f>
        <v>3875</v>
      </c>
      <c r="S18" s="10">
        <f t="shared" si="3"/>
        <v>5438</v>
      </c>
      <c r="T18" s="10">
        <f t="shared" si="3"/>
        <v>6658</v>
      </c>
      <c r="U18" s="10">
        <f t="shared" si="3"/>
        <v>2283</v>
      </c>
      <c r="V18" s="10">
        <f t="shared" si="3"/>
        <v>1383</v>
      </c>
      <c r="W18" s="10">
        <f t="shared" si="3"/>
        <v>3975</v>
      </c>
      <c r="X18" s="10">
        <f t="shared" si="3"/>
        <v>4103</v>
      </c>
      <c r="Y18" s="10">
        <f t="shared" si="3"/>
        <v>3849</v>
      </c>
      <c r="Z18" s="10">
        <f t="shared" si="3"/>
        <v>4353</v>
      </c>
      <c r="AA18" s="10">
        <f t="shared" si="3"/>
        <v>3942</v>
      </c>
      <c r="AB18" s="10">
        <f t="shared" si="3"/>
        <v>3224</v>
      </c>
      <c r="AC18" s="10">
        <f t="shared" si="1"/>
        <v>46659</v>
      </c>
    </row>
    <row r="19" spans="1:16" ht="12.75">
      <c r="A19" s="5" t="s">
        <v>24</v>
      </c>
      <c r="P19" s="5" t="s">
        <v>24</v>
      </c>
    </row>
    <row r="21" spans="1:16" ht="12.75">
      <c r="A21" t="s">
        <v>36</v>
      </c>
      <c r="P21" t="s">
        <v>37</v>
      </c>
    </row>
    <row r="22" spans="1:16" ht="12.75">
      <c r="A22" t="s">
        <v>31</v>
      </c>
      <c r="P22" t="s">
        <v>31</v>
      </c>
    </row>
    <row r="23" spans="1:29" ht="12.75">
      <c r="A23" s="1" t="s">
        <v>21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28</v>
      </c>
      <c r="L23" s="2" t="s">
        <v>29</v>
      </c>
      <c r="M23" s="2" t="s">
        <v>30</v>
      </c>
      <c r="N23" s="49" t="s">
        <v>25</v>
      </c>
      <c r="P23" s="1" t="s">
        <v>21</v>
      </c>
      <c r="Q23" s="2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2" t="s">
        <v>6</v>
      </c>
      <c r="X23" s="2" t="s">
        <v>7</v>
      </c>
      <c r="Y23" s="2" t="s">
        <v>8</v>
      </c>
      <c r="Z23" s="2" t="s">
        <v>28</v>
      </c>
      <c r="AA23" s="2" t="s">
        <v>29</v>
      </c>
      <c r="AB23" s="2" t="s">
        <v>30</v>
      </c>
      <c r="AC23" s="49" t="s">
        <v>25</v>
      </c>
    </row>
    <row r="24" spans="1:29" ht="12.75">
      <c r="A24" s="3" t="s">
        <v>9</v>
      </c>
      <c r="B24" s="7">
        <f>1310495+2820763+3304093+7470+5929584+1848903+24911+10310+5194+812905</f>
        <v>16074628</v>
      </c>
      <c r="C24" s="7">
        <f>1582422+3636480+4225244+128678+8741123+1737868+895423+51918+14016+1771902</f>
        <v>22785074</v>
      </c>
      <c r="D24" s="7">
        <f>2033052+5080802+4857499+38966+7710396+1754637+179788+42418+8178+1773027</f>
        <v>23478763</v>
      </c>
      <c r="E24" s="7">
        <f>1638531+3147793+3675042+12908+7734902+1796941+23565+44112+21192+1224804</f>
        <v>19319790</v>
      </c>
      <c r="F24" s="7">
        <f>1707437+3144862+4214819+114951+8648122+2400177+27700+33221+14851+1471155</f>
        <v>21777295</v>
      </c>
      <c r="G24" s="7">
        <f>2276781+4236326+4311906+10851+7734858+2052789+135662+47065+15929+1241734</f>
        <v>22063901</v>
      </c>
      <c r="H24" s="7">
        <f>1862242+4259552+4587285+20250+10715071+1921180+41278+38647+2054333</f>
        <v>25499838</v>
      </c>
      <c r="I24" s="7">
        <v>22953620</v>
      </c>
      <c r="J24" s="7">
        <v>26971311</v>
      </c>
      <c r="K24" s="7">
        <v>25394605</v>
      </c>
      <c r="L24" s="7">
        <v>25338958</v>
      </c>
      <c r="M24" s="67">
        <v>34727598</v>
      </c>
      <c r="N24" s="7">
        <f>SUM(B24:M24)</f>
        <v>286385381</v>
      </c>
      <c r="P24" s="3" t="s">
        <v>9</v>
      </c>
      <c r="Q24" s="7">
        <f>126346+2017369+917094+754027+483658+89727+12577+10489</f>
        <v>4411287</v>
      </c>
      <c r="R24" s="7">
        <f>364498+2650935+380756+121961+81988+428050+125993</f>
        <v>4154181</v>
      </c>
      <c r="S24" s="7">
        <f>468102+3205311+498970+3229+93037+281518+303519+20336</f>
        <v>4874022</v>
      </c>
      <c r="T24" s="7">
        <f>148598+2432038+196223+466823+72349+293707+77020+20253</f>
        <v>3707011</v>
      </c>
      <c r="U24" s="7">
        <f>152169+1604894+1386285+448827+89022+267481+288215+173686+11706</f>
        <v>4422285</v>
      </c>
      <c r="V24" s="7">
        <f>288705+1375057+482247+216428+66695+101936+64203+58738+73486</f>
        <v>2727495</v>
      </c>
      <c r="W24" s="7">
        <f>142115+3526081+325268+4001+40291+68352+3273+1710+69100</f>
        <v>4180191</v>
      </c>
      <c r="X24" s="7">
        <v>4681937</v>
      </c>
      <c r="Y24" s="7">
        <v>4339875</v>
      </c>
      <c r="Z24" s="7">
        <v>4152633</v>
      </c>
      <c r="AA24" s="7">
        <v>4777656</v>
      </c>
      <c r="AB24" s="67">
        <v>3054631</v>
      </c>
      <c r="AC24" s="7">
        <f>SUM(Q24:AB24)</f>
        <v>49483204</v>
      </c>
    </row>
    <row r="25" spans="1:29" ht="12.75">
      <c r="A25" s="4" t="s">
        <v>27</v>
      </c>
      <c r="B25" s="8">
        <f>22565+4338+11955</f>
        <v>38858</v>
      </c>
      <c r="C25" s="8">
        <f>19593+1493+12124</f>
        <v>33210</v>
      </c>
      <c r="D25" s="8">
        <f>127465+1169+40473</f>
        <v>169107</v>
      </c>
      <c r="E25" s="8">
        <f>77859+1474+11691</f>
        <v>91024</v>
      </c>
      <c r="F25" s="8">
        <f>68510+903+2964+26587</f>
        <v>98964</v>
      </c>
      <c r="G25" s="8">
        <f>51045+5336+28224</f>
        <v>84605</v>
      </c>
      <c r="H25" s="8">
        <f>51976+1722+32311</f>
        <v>86009</v>
      </c>
      <c r="I25" s="8"/>
      <c r="J25" s="8"/>
      <c r="K25" s="8"/>
      <c r="L25" s="8"/>
      <c r="M25" s="47"/>
      <c r="N25" s="8">
        <f aca="true" t="shared" si="4" ref="N25:N36">SUM(B25:M25)</f>
        <v>601777</v>
      </c>
      <c r="P25" s="4" t="s">
        <v>27</v>
      </c>
      <c r="Q25" s="8">
        <f>159073</f>
        <v>159073</v>
      </c>
      <c r="R25" s="8">
        <v>33722</v>
      </c>
      <c r="S25" s="8"/>
      <c r="T25" s="8">
        <v>29460</v>
      </c>
      <c r="U25" s="8">
        <v>131566</v>
      </c>
      <c r="V25" s="8"/>
      <c r="W25" s="8"/>
      <c r="X25" s="8"/>
      <c r="Y25" s="8"/>
      <c r="Z25" s="8">
        <v>36428</v>
      </c>
      <c r="AA25" s="8">
        <v>1951</v>
      </c>
      <c r="AB25" s="47">
        <v>45455</v>
      </c>
      <c r="AC25" s="8">
        <f>SUM(Q25:AB25)</f>
        <v>437655</v>
      </c>
    </row>
    <row r="26" spans="1:29" ht="12.75">
      <c r="A26" s="4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7"/>
      <c r="N26" s="8"/>
      <c r="P26" s="4" t="s">
        <v>10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47"/>
      <c r="AC26" s="8"/>
    </row>
    <row r="27" spans="1:29" ht="12.75">
      <c r="A27" s="4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7"/>
      <c r="N27" s="8"/>
      <c r="P27" s="4" t="s">
        <v>33</v>
      </c>
      <c r="Q27" s="8">
        <v>50577</v>
      </c>
      <c r="R27" s="8"/>
      <c r="S27" s="8">
        <v>57045</v>
      </c>
      <c r="T27" s="8">
        <v>55872</v>
      </c>
      <c r="U27" s="8"/>
      <c r="V27" s="8"/>
      <c r="W27" s="8"/>
      <c r="X27" s="8"/>
      <c r="Y27" s="8"/>
      <c r="Z27" s="8"/>
      <c r="AA27" s="8"/>
      <c r="AB27" s="47"/>
      <c r="AC27" s="8">
        <f>SUM(Q27:AB27)</f>
        <v>163494</v>
      </c>
    </row>
    <row r="28" spans="1:29" ht="12.75">
      <c r="A28" s="4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>
        <v>4153</v>
      </c>
      <c r="M28" s="47">
        <v>20919</v>
      </c>
      <c r="N28" s="8">
        <f t="shared" si="4"/>
        <v>25072</v>
      </c>
      <c r="P28" s="4" t="s">
        <v>11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47"/>
      <c r="AC28" s="8"/>
    </row>
    <row r="29" spans="1:29" ht="12.75">
      <c r="A29" s="4" t="s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7"/>
      <c r="N29" s="8"/>
      <c r="P29" s="4" t="s">
        <v>12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47"/>
      <c r="AC29" s="8"/>
    </row>
    <row r="30" spans="1:29" ht="12.75">
      <c r="A30" s="4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7"/>
      <c r="N30" s="8"/>
      <c r="P30" s="4" t="s">
        <v>13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47"/>
      <c r="AC30" s="8"/>
    </row>
    <row r="31" spans="1:29" ht="12.75">
      <c r="A31" s="4" t="s">
        <v>14</v>
      </c>
      <c r="B31" s="8">
        <v>1376577</v>
      </c>
      <c r="C31" s="8">
        <v>2083342</v>
      </c>
      <c r="D31" s="8">
        <v>2527778</v>
      </c>
      <c r="E31" s="8">
        <v>4767579</v>
      </c>
      <c r="F31" s="8">
        <v>4435218</v>
      </c>
      <c r="G31" s="8">
        <v>3728299</v>
      </c>
      <c r="H31" s="8">
        <v>4013865</v>
      </c>
      <c r="I31" s="8">
        <v>4059220</v>
      </c>
      <c r="J31" s="8">
        <v>2336823</v>
      </c>
      <c r="K31" s="8">
        <v>3434709</v>
      </c>
      <c r="L31" s="8">
        <v>2441958</v>
      </c>
      <c r="M31" s="47">
        <v>2717666</v>
      </c>
      <c r="N31" s="8">
        <f t="shared" si="4"/>
        <v>37923034</v>
      </c>
      <c r="P31" s="4" t="s">
        <v>14</v>
      </c>
      <c r="Q31" s="8">
        <v>8454260</v>
      </c>
      <c r="R31" s="8">
        <v>9374772</v>
      </c>
      <c r="S31" s="8">
        <v>13594519</v>
      </c>
      <c r="T31" s="8">
        <v>18573582</v>
      </c>
      <c r="U31" s="8">
        <v>4202320</v>
      </c>
      <c r="V31" s="8">
        <v>2717140</v>
      </c>
      <c r="W31" s="8">
        <v>9960154</v>
      </c>
      <c r="X31" s="8">
        <v>10414291</v>
      </c>
      <c r="Y31" s="8">
        <v>9015377</v>
      </c>
      <c r="Z31" s="8">
        <v>10385741</v>
      </c>
      <c r="AA31" s="8">
        <v>9884871</v>
      </c>
      <c r="AB31" s="47">
        <v>9238812</v>
      </c>
      <c r="AC31" s="8">
        <f>SUM(Q31:AB31)</f>
        <v>115815839</v>
      </c>
    </row>
    <row r="32" spans="1:29" ht="12.75">
      <c r="A32" s="4" t="s">
        <v>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7"/>
      <c r="N32" s="8"/>
      <c r="P32" s="4" t="s">
        <v>15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47"/>
      <c r="AC32" s="8"/>
    </row>
    <row r="33" spans="1:29" ht="12.75">
      <c r="A33" s="4" t="s">
        <v>16</v>
      </c>
      <c r="B33" s="8"/>
      <c r="C33" s="8"/>
      <c r="D33" s="8"/>
      <c r="E33" s="8">
        <v>62072</v>
      </c>
      <c r="F33" s="8"/>
      <c r="G33" s="8">
        <v>54769</v>
      </c>
      <c r="H33" s="8">
        <v>51788</v>
      </c>
      <c r="I33" s="8"/>
      <c r="J33" s="8">
        <v>65108</v>
      </c>
      <c r="K33" s="8">
        <v>63614</v>
      </c>
      <c r="L33" s="8">
        <v>119487</v>
      </c>
      <c r="M33" s="47">
        <v>225450</v>
      </c>
      <c r="N33" s="8">
        <f>SUM(B33:M33)</f>
        <v>642288</v>
      </c>
      <c r="P33" s="4" t="s">
        <v>16</v>
      </c>
      <c r="Q33" s="8"/>
      <c r="R33" s="8">
        <v>22230</v>
      </c>
      <c r="S33" s="8"/>
      <c r="T33" s="8">
        <v>26187</v>
      </c>
      <c r="U33" s="8">
        <v>4375</v>
      </c>
      <c r="V33" s="8"/>
      <c r="W33" s="8"/>
      <c r="X33" s="8">
        <v>20415</v>
      </c>
      <c r="Y33" s="8">
        <v>9464</v>
      </c>
      <c r="Z33" s="8">
        <v>17971</v>
      </c>
      <c r="AA33" s="8">
        <v>20967</v>
      </c>
      <c r="AB33" s="47">
        <v>45672</v>
      </c>
      <c r="AC33" s="8">
        <f>SUM(Q33:AB33)</f>
        <v>167281</v>
      </c>
    </row>
    <row r="34" spans="1:29" ht="12.75">
      <c r="A34" s="4" t="s">
        <v>17</v>
      </c>
      <c r="B34" s="8">
        <v>2201015</v>
      </c>
      <c r="C34" s="8">
        <v>2628650</v>
      </c>
      <c r="D34" s="8">
        <v>2733341</v>
      </c>
      <c r="E34" s="8">
        <v>5215580</v>
      </c>
      <c r="F34" s="8">
        <v>5905542</v>
      </c>
      <c r="G34" s="8">
        <v>8414600</v>
      </c>
      <c r="H34" s="8">
        <v>6719842</v>
      </c>
      <c r="I34" s="8">
        <v>4772866</v>
      </c>
      <c r="J34" s="8">
        <v>4799728</v>
      </c>
      <c r="K34" s="8">
        <v>5881175</v>
      </c>
      <c r="L34" s="8">
        <v>5492937</v>
      </c>
      <c r="M34" s="47">
        <v>6760510</v>
      </c>
      <c r="N34" s="8">
        <f t="shared" si="4"/>
        <v>61525786</v>
      </c>
      <c r="P34" s="4" t="s">
        <v>17</v>
      </c>
      <c r="Q34" s="8"/>
      <c r="R34" s="8">
        <v>64722</v>
      </c>
      <c r="S34" s="8">
        <v>308455</v>
      </c>
      <c r="T34" s="8">
        <v>316000</v>
      </c>
      <c r="U34" s="8">
        <v>187901</v>
      </c>
      <c r="V34" s="8"/>
      <c r="W34" s="8"/>
      <c r="X34" s="8">
        <v>84880</v>
      </c>
      <c r="Y34" s="8"/>
      <c r="Z34" s="8"/>
      <c r="AA34" s="8"/>
      <c r="AB34" s="47">
        <v>87210</v>
      </c>
      <c r="AC34" s="8">
        <f>SUM(Q34:AB34)</f>
        <v>1049168</v>
      </c>
    </row>
    <row r="35" spans="1:29" ht="12.75">
      <c r="A35" s="4" t="s">
        <v>18</v>
      </c>
      <c r="B35" s="8"/>
      <c r="C35" s="8"/>
      <c r="D35" s="8"/>
      <c r="E35" s="8"/>
      <c r="F35" s="8"/>
      <c r="G35" s="8">
        <v>53224</v>
      </c>
      <c r="H35" s="8"/>
      <c r="I35" s="8"/>
      <c r="J35" s="8"/>
      <c r="K35" s="8"/>
      <c r="L35" s="8"/>
      <c r="M35" s="47"/>
      <c r="N35" s="8">
        <f t="shared" si="4"/>
        <v>53224</v>
      </c>
      <c r="P35" s="4" t="s">
        <v>18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47"/>
      <c r="AC35" s="8"/>
    </row>
    <row r="36" spans="1:29" ht="12.75">
      <c r="A36" s="4" t="s">
        <v>19</v>
      </c>
      <c r="B36" s="8"/>
      <c r="C36" s="8"/>
      <c r="D36" s="8"/>
      <c r="E36" s="8"/>
      <c r="F36" s="8"/>
      <c r="G36" s="8">
        <v>2857</v>
      </c>
      <c r="H36" s="8"/>
      <c r="I36" s="8"/>
      <c r="J36" s="8"/>
      <c r="K36" s="8"/>
      <c r="L36" s="8"/>
      <c r="M36" s="47"/>
      <c r="N36" s="8">
        <f t="shared" si="4"/>
        <v>2857</v>
      </c>
      <c r="P36" s="4" t="s">
        <v>19</v>
      </c>
      <c r="Q36" s="8">
        <v>2955</v>
      </c>
      <c r="R36" s="8"/>
      <c r="S36" s="8"/>
      <c r="T36" s="8"/>
      <c r="U36" s="8"/>
      <c r="V36" s="8">
        <v>68194</v>
      </c>
      <c r="W36" s="8">
        <v>1791</v>
      </c>
      <c r="X36" s="8"/>
      <c r="Y36" s="8">
        <v>4244</v>
      </c>
      <c r="Z36" s="8">
        <v>1392</v>
      </c>
      <c r="AA36" s="8">
        <v>1779</v>
      </c>
      <c r="AB36" s="47">
        <v>32513</v>
      </c>
      <c r="AC36" s="8">
        <f>SUM(Q36:AB36)</f>
        <v>112868</v>
      </c>
    </row>
    <row r="37" spans="1:29" ht="12.75">
      <c r="A37" s="11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  <c r="P37" s="11" t="s">
        <v>35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9"/>
    </row>
    <row r="38" spans="1:29" ht="12.75">
      <c r="A38" s="1" t="s">
        <v>20</v>
      </c>
      <c r="B38" s="10">
        <f>SUM(B24:B37)</f>
        <v>19691078</v>
      </c>
      <c r="C38" s="10">
        <f aca="true" t="shared" si="5" ref="C38:N38">SUM(C24:C37)</f>
        <v>27530276</v>
      </c>
      <c r="D38" s="10">
        <f t="shared" si="5"/>
        <v>28908989</v>
      </c>
      <c r="E38" s="10">
        <f t="shared" si="5"/>
        <v>29456045</v>
      </c>
      <c r="F38" s="10">
        <f t="shared" si="5"/>
        <v>32217019</v>
      </c>
      <c r="G38" s="10">
        <f t="shared" si="5"/>
        <v>34402255</v>
      </c>
      <c r="H38" s="10">
        <f t="shared" si="5"/>
        <v>36371342</v>
      </c>
      <c r="I38" s="10">
        <f t="shared" si="5"/>
        <v>31785706</v>
      </c>
      <c r="J38" s="10">
        <f t="shared" si="5"/>
        <v>34172970</v>
      </c>
      <c r="K38" s="10">
        <f t="shared" si="5"/>
        <v>34774103</v>
      </c>
      <c r="L38" s="10">
        <f t="shared" si="5"/>
        <v>33397493</v>
      </c>
      <c r="M38" s="10">
        <f t="shared" si="5"/>
        <v>44452143</v>
      </c>
      <c r="N38" s="9">
        <f t="shared" si="5"/>
        <v>387159419</v>
      </c>
      <c r="P38" s="1" t="s">
        <v>20</v>
      </c>
      <c r="Q38" s="10">
        <f>SUM(Q24:Q37)</f>
        <v>13078152</v>
      </c>
      <c r="R38" s="10">
        <f>SUM(R24:R37)</f>
        <v>13649627</v>
      </c>
      <c r="S38" s="10">
        <f aca="true" t="shared" si="6" ref="S38:AC38">SUM(S24:S37)</f>
        <v>18834041</v>
      </c>
      <c r="T38" s="10">
        <f t="shared" si="6"/>
        <v>22708112</v>
      </c>
      <c r="U38" s="10">
        <f t="shared" si="6"/>
        <v>8948447</v>
      </c>
      <c r="V38" s="10">
        <f t="shared" si="6"/>
        <v>5512829</v>
      </c>
      <c r="W38" s="10">
        <f t="shared" si="6"/>
        <v>14142136</v>
      </c>
      <c r="X38" s="10">
        <f t="shared" si="6"/>
        <v>15201523</v>
      </c>
      <c r="Y38" s="10">
        <f t="shared" si="6"/>
        <v>13368960</v>
      </c>
      <c r="Z38" s="10">
        <f t="shared" si="6"/>
        <v>14594165</v>
      </c>
      <c r="AA38" s="10">
        <f t="shared" si="6"/>
        <v>14687224</v>
      </c>
      <c r="AB38" s="10">
        <f t="shared" si="6"/>
        <v>12504293</v>
      </c>
      <c r="AC38" s="10">
        <f t="shared" si="6"/>
        <v>167229509</v>
      </c>
    </row>
    <row r="39" spans="1:16" ht="12.75">
      <c r="A39" s="5" t="s">
        <v>24</v>
      </c>
      <c r="P39" s="5" t="s">
        <v>24</v>
      </c>
    </row>
    <row r="41" spans="1:16" ht="12.75">
      <c r="A41" t="s">
        <v>36</v>
      </c>
      <c r="P41" t="s">
        <v>37</v>
      </c>
    </row>
    <row r="42" spans="1:16" ht="12.75">
      <c r="A42" t="s">
        <v>32</v>
      </c>
      <c r="P42" t="s">
        <v>32</v>
      </c>
    </row>
    <row r="43" spans="1:29" ht="12.75">
      <c r="A43" s="1" t="s">
        <v>21</v>
      </c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7</v>
      </c>
      <c r="J43" s="2" t="s">
        <v>8</v>
      </c>
      <c r="K43" s="2" t="s">
        <v>28</v>
      </c>
      <c r="L43" s="2" t="s">
        <v>29</v>
      </c>
      <c r="M43" s="61" t="s">
        <v>30</v>
      </c>
      <c r="N43" s="6" t="s">
        <v>25</v>
      </c>
      <c r="P43" s="1" t="s">
        <v>21</v>
      </c>
      <c r="Q43" s="2" t="s">
        <v>0</v>
      </c>
      <c r="R43" s="2" t="s">
        <v>1</v>
      </c>
      <c r="S43" s="2" t="s">
        <v>2</v>
      </c>
      <c r="T43" s="2" t="s">
        <v>3</v>
      </c>
      <c r="U43" s="63" t="s">
        <v>4</v>
      </c>
      <c r="V43" s="2" t="s">
        <v>5</v>
      </c>
      <c r="W43" s="65" t="s">
        <v>6</v>
      </c>
      <c r="X43" s="2" t="s">
        <v>7</v>
      </c>
      <c r="Y43" s="2" t="s">
        <v>8</v>
      </c>
      <c r="Z43" s="65" t="s">
        <v>28</v>
      </c>
      <c r="AA43" s="2" t="s">
        <v>29</v>
      </c>
      <c r="AB43" s="2" t="s">
        <v>30</v>
      </c>
      <c r="AC43" s="6" t="s">
        <v>25</v>
      </c>
    </row>
    <row r="44" spans="1:29" ht="12.75">
      <c r="A44" s="3" t="s">
        <v>9</v>
      </c>
      <c r="B44" s="14">
        <f>B24/B4</f>
        <v>7356.809153318078</v>
      </c>
      <c r="C44" s="14">
        <f aca="true" t="shared" si="7" ref="C44:M44">C24/C4</f>
        <v>7107.00998128509</v>
      </c>
      <c r="D44" s="14">
        <f t="shared" si="7"/>
        <v>7364.731179422835</v>
      </c>
      <c r="E44" s="14">
        <f t="shared" si="7"/>
        <v>7793.380395320693</v>
      </c>
      <c r="F44" s="14">
        <f t="shared" si="7"/>
        <v>7847.673873873874</v>
      </c>
      <c r="G44" s="14">
        <f t="shared" si="7"/>
        <v>7758.052390998593</v>
      </c>
      <c r="H44" s="14">
        <f t="shared" si="7"/>
        <v>7533.187001477105</v>
      </c>
      <c r="I44" s="14">
        <f t="shared" si="7"/>
        <v>7828.656207366985</v>
      </c>
      <c r="J44" s="14">
        <f t="shared" si="7"/>
        <v>7854.196563774024</v>
      </c>
      <c r="K44" s="14">
        <f t="shared" si="7"/>
        <v>6889.4750406945195</v>
      </c>
      <c r="L44" s="14">
        <f t="shared" si="7"/>
        <v>6588.392615704628</v>
      </c>
      <c r="M44" s="14">
        <f t="shared" si="7"/>
        <v>6987.444265593562</v>
      </c>
      <c r="N44" s="59">
        <f>N24/N4</f>
        <v>7356.4187259183145</v>
      </c>
      <c r="P44" s="3" t="s">
        <v>9</v>
      </c>
      <c r="Q44" s="14">
        <f>Q24/Q4</f>
        <v>5953.153846153846</v>
      </c>
      <c r="R44" s="14">
        <f aca="true" t="shared" si="8" ref="R44:AB44">R24/R4</f>
        <v>5583.576612903225</v>
      </c>
      <c r="S44" s="14">
        <f t="shared" si="8"/>
        <v>5458.031354983203</v>
      </c>
      <c r="T44" s="14">
        <f t="shared" si="8"/>
        <v>6514.957820738137</v>
      </c>
      <c r="U44" s="57">
        <f t="shared" si="8"/>
        <v>5780.764705882353</v>
      </c>
      <c r="V44" s="14">
        <f t="shared" si="8"/>
        <v>5255.289017341041</v>
      </c>
      <c r="W44" s="14">
        <f t="shared" si="8"/>
        <v>6075.859011627907</v>
      </c>
      <c r="X44" s="14">
        <f t="shared" si="8"/>
        <v>5964.250955414012</v>
      </c>
      <c r="Y44" s="14">
        <f t="shared" si="8"/>
        <v>5771.110372340426</v>
      </c>
      <c r="Z44" s="14">
        <f t="shared" si="8"/>
        <v>5865.300847457627</v>
      </c>
      <c r="AA44" s="14">
        <f t="shared" si="8"/>
        <v>5749.285198555956</v>
      </c>
      <c r="AB44" s="59">
        <f t="shared" si="8"/>
        <v>5435.286476868328</v>
      </c>
      <c r="AC44" s="59">
        <f>AC24/AC4</f>
        <v>5782.774804253827</v>
      </c>
    </row>
    <row r="45" spans="1:29" ht="12.75">
      <c r="A45" s="4" t="s">
        <v>27</v>
      </c>
      <c r="B45" s="15">
        <f>B25/B5</f>
        <v>7771.6</v>
      </c>
      <c r="C45" s="15">
        <f aca="true" t="shared" si="9" ref="C45:H45">C25/C5</f>
        <v>11070</v>
      </c>
      <c r="D45" s="15">
        <f t="shared" si="9"/>
        <v>6764.28</v>
      </c>
      <c r="E45" s="15">
        <f t="shared" si="9"/>
        <v>7001.846153846154</v>
      </c>
      <c r="F45" s="15">
        <f t="shared" si="9"/>
        <v>7612.615384615385</v>
      </c>
      <c r="G45" s="15">
        <f t="shared" si="9"/>
        <v>8460.5</v>
      </c>
      <c r="H45" s="15">
        <f t="shared" si="9"/>
        <v>12287</v>
      </c>
      <c r="I45" s="15"/>
      <c r="J45" s="15"/>
      <c r="K45" s="15"/>
      <c r="L45" s="15"/>
      <c r="M45" s="15"/>
      <c r="N45" s="60">
        <f>N25/N5</f>
        <v>4237.866197183099</v>
      </c>
      <c r="P45" s="4" t="s">
        <v>27</v>
      </c>
      <c r="Q45" s="15">
        <v>4551.837</v>
      </c>
      <c r="R45" s="15">
        <v>4430.051</v>
      </c>
      <c r="S45" s="15"/>
      <c r="T45" s="15">
        <v>3162.607</v>
      </c>
      <c r="U45" s="58">
        <v>3276.382</v>
      </c>
      <c r="V45" s="15"/>
      <c r="W45" s="15"/>
      <c r="X45" s="15"/>
      <c r="Y45" s="15"/>
      <c r="Z45" s="15">
        <f>Z25/Z5</f>
        <v>4047.5555555555557</v>
      </c>
      <c r="AA45" s="15">
        <f>AA25/AA5</f>
        <v>1951</v>
      </c>
      <c r="AB45" s="60">
        <f>AB25/AB5</f>
        <v>9091</v>
      </c>
      <c r="AC45" s="60">
        <v>3844.623</v>
      </c>
    </row>
    <row r="46" spans="1:29" ht="12.75">
      <c r="A46" s="4" t="s">
        <v>10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60"/>
      <c r="P46" s="4" t="s">
        <v>10</v>
      </c>
      <c r="Q46" s="15"/>
      <c r="R46" s="15"/>
      <c r="S46" s="15"/>
      <c r="T46" s="15"/>
      <c r="U46" s="58"/>
      <c r="V46" s="15"/>
      <c r="W46" s="15"/>
      <c r="X46" s="15"/>
      <c r="Y46" s="15"/>
      <c r="Z46" s="15"/>
      <c r="AA46" s="15"/>
      <c r="AB46" s="60"/>
      <c r="AC46" s="60"/>
    </row>
    <row r="47" spans="1:29" ht="12.75">
      <c r="A47" s="4" t="s">
        <v>33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60"/>
      <c r="P47" s="4" t="s">
        <v>33</v>
      </c>
      <c r="Q47" s="15">
        <v>3152.38</v>
      </c>
      <c r="R47" s="15"/>
      <c r="S47" s="15">
        <v>3178.352</v>
      </c>
      <c r="T47" s="15">
        <v>3112.991</v>
      </c>
      <c r="U47" s="58"/>
      <c r="V47" s="15"/>
      <c r="W47" s="15"/>
      <c r="X47" s="15"/>
      <c r="Y47" s="15"/>
      <c r="Z47" s="15"/>
      <c r="AA47" s="15"/>
      <c r="AB47" s="60"/>
      <c r="AC47" s="60">
        <v>3147.744</v>
      </c>
    </row>
    <row r="48" spans="1:29" ht="12.75">
      <c r="A48" s="4" t="s">
        <v>11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>
        <f>M28/M8</f>
        <v>20919</v>
      </c>
      <c r="N48" s="60">
        <f>N28/N8</f>
        <v>25072</v>
      </c>
      <c r="P48" s="4" t="s">
        <v>11</v>
      </c>
      <c r="Q48" s="15"/>
      <c r="R48" s="15"/>
      <c r="S48" s="15"/>
      <c r="T48" s="15"/>
      <c r="U48" s="58"/>
      <c r="V48" s="15"/>
      <c r="W48" s="15"/>
      <c r="X48" s="15"/>
      <c r="Y48" s="15"/>
      <c r="Z48" s="15"/>
      <c r="AA48" s="15"/>
      <c r="AB48" s="60"/>
      <c r="AC48" s="60"/>
    </row>
    <row r="49" spans="1:29" ht="12.75">
      <c r="A49" s="4" t="s">
        <v>12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60"/>
      <c r="P49" s="4" t="s">
        <v>12</v>
      </c>
      <c r="Q49" s="15"/>
      <c r="R49" s="15"/>
      <c r="S49" s="15"/>
      <c r="T49" s="15"/>
      <c r="U49" s="58"/>
      <c r="V49" s="15"/>
      <c r="W49" s="15"/>
      <c r="X49" s="15"/>
      <c r="Y49" s="15"/>
      <c r="Z49" s="15"/>
      <c r="AA49" s="15"/>
      <c r="AB49" s="60"/>
      <c r="AC49" s="60"/>
    </row>
    <row r="50" spans="1:29" ht="12.75">
      <c r="A50" s="4" t="s">
        <v>13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60"/>
      <c r="P50" s="4" t="s">
        <v>13</v>
      </c>
      <c r="Q50" s="15"/>
      <c r="R50" s="15"/>
      <c r="S50" s="15"/>
      <c r="T50" s="15"/>
      <c r="U50" s="58"/>
      <c r="V50" s="15"/>
      <c r="W50" s="15"/>
      <c r="X50" s="15"/>
      <c r="Y50" s="15"/>
      <c r="Z50" s="15"/>
      <c r="AA50" s="15"/>
      <c r="AB50" s="60"/>
      <c r="AC50" s="60"/>
    </row>
    <row r="51" spans="1:29" ht="12.75">
      <c r="A51" s="4" t="s">
        <v>14</v>
      </c>
      <c r="B51" s="15">
        <f aca="true" t="shared" si="10" ref="B51:N51">B31/B11</f>
        <v>5079.619926199262</v>
      </c>
      <c r="C51" s="15">
        <f t="shared" si="10"/>
        <v>5301.124681933842</v>
      </c>
      <c r="D51" s="15">
        <f t="shared" si="10"/>
        <v>5158.730612244898</v>
      </c>
      <c r="E51" s="15">
        <f t="shared" si="10"/>
        <v>4854.968431771894</v>
      </c>
      <c r="F51" s="15">
        <f t="shared" si="10"/>
        <v>5402.2143727162</v>
      </c>
      <c r="G51" s="15">
        <f t="shared" si="10"/>
        <v>5411.174165457184</v>
      </c>
      <c r="H51" s="15">
        <f t="shared" si="10"/>
        <v>4979.9813895781635</v>
      </c>
      <c r="I51" s="15">
        <f t="shared" si="10"/>
        <v>4450.899122807017</v>
      </c>
      <c r="J51" s="15">
        <f t="shared" si="10"/>
        <v>4187.854838709677</v>
      </c>
      <c r="K51" s="15">
        <f t="shared" si="10"/>
        <v>4460.661038961039</v>
      </c>
      <c r="L51" s="15">
        <f t="shared" si="10"/>
        <v>5678.972093023256</v>
      </c>
      <c r="M51" s="15">
        <f t="shared" si="10"/>
        <v>6364.55737704918</v>
      </c>
      <c r="N51" s="60">
        <f t="shared" si="10"/>
        <v>5023.583785931912</v>
      </c>
      <c r="P51" s="4" t="s">
        <v>14</v>
      </c>
      <c r="Q51" s="15">
        <f>Q31/Q11</f>
        <v>3036.7313218390805</v>
      </c>
      <c r="R51" s="15">
        <f aca="true" t="shared" si="11" ref="R51:AB51">R31/R11</f>
        <v>3034.8889608287473</v>
      </c>
      <c r="S51" s="15">
        <f t="shared" si="11"/>
        <v>3077.0753734721593</v>
      </c>
      <c r="T51" s="15">
        <f t="shared" si="11"/>
        <v>3126.8656565656565</v>
      </c>
      <c r="U51" s="58">
        <f t="shared" si="11"/>
        <v>2984.6022727272725</v>
      </c>
      <c r="V51" s="15">
        <f t="shared" si="11"/>
        <v>3166.829836829837</v>
      </c>
      <c r="W51" s="15">
        <f t="shared" si="11"/>
        <v>3030.165500456343</v>
      </c>
      <c r="X51" s="15">
        <f t="shared" si="11"/>
        <v>3151.0714069591527</v>
      </c>
      <c r="Y51" s="15">
        <f t="shared" si="11"/>
        <v>2911.9434754521963</v>
      </c>
      <c r="Z51" s="15">
        <f t="shared" si="11"/>
        <v>2857.936433681893</v>
      </c>
      <c r="AA51" s="15">
        <f t="shared" si="11"/>
        <v>3183.5333333333333</v>
      </c>
      <c r="AB51" s="60">
        <f t="shared" si="11"/>
        <v>3526.2641221374047</v>
      </c>
      <c r="AC51" s="60">
        <f>AC31/AC11</f>
        <v>3084.8028712976775</v>
      </c>
    </row>
    <row r="52" spans="1:29" ht="12.75">
      <c r="A52" s="4" t="s">
        <v>15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60"/>
      <c r="P52" s="4" t="s">
        <v>15</v>
      </c>
      <c r="Q52" s="15"/>
      <c r="R52" s="15"/>
      <c r="S52" s="15"/>
      <c r="T52" s="15"/>
      <c r="U52" s="58"/>
      <c r="V52" s="15"/>
      <c r="W52" s="15"/>
      <c r="X52" s="15"/>
      <c r="Y52" s="15"/>
      <c r="Z52" s="15"/>
      <c r="AA52" s="15"/>
      <c r="AB52" s="60"/>
      <c r="AC52" s="60"/>
    </row>
    <row r="53" spans="1:29" ht="12.75">
      <c r="A53" s="4" t="s">
        <v>16</v>
      </c>
      <c r="B53" s="15"/>
      <c r="C53" s="15"/>
      <c r="D53" s="15"/>
      <c r="E53" s="15">
        <f>E33/E13</f>
        <v>6896.888888888889</v>
      </c>
      <c r="F53" s="15"/>
      <c r="G53" s="15">
        <f>G33/G13</f>
        <v>6846.125</v>
      </c>
      <c r="H53" s="15">
        <f>H33/H13</f>
        <v>8631.333333333334</v>
      </c>
      <c r="I53" s="15"/>
      <c r="J53" s="15">
        <f aca="true" t="shared" si="12" ref="J53:N54">J33/J13</f>
        <v>8138.5</v>
      </c>
      <c r="K53" s="15">
        <f t="shared" si="12"/>
        <v>7068.222222222223</v>
      </c>
      <c r="L53" s="15">
        <f t="shared" si="12"/>
        <v>5974.35</v>
      </c>
      <c r="M53" s="15">
        <f t="shared" si="12"/>
        <v>7272.580645161291</v>
      </c>
      <c r="N53" s="60">
        <f t="shared" si="12"/>
        <v>7058.10989010989</v>
      </c>
      <c r="P53" s="4" t="s">
        <v>16</v>
      </c>
      <c r="Q53" s="15"/>
      <c r="R53" s="15">
        <v>2837.303</v>
      </c>
      <c r="S53" s="15"/>
      <c r="T53" s="15">
        <v>2620.021</v>
      </c>
      <c r="U53" s="58">
        <v>2157.159</v>
      </c>
      <c r="V53" s="15"/>
      <c r="W53" s="15"/>
      <c r="X53" s="15">
        <f>X33/X13</f>
        <v>6805</v>
      </c>
      <c r="Y53" s="15">
        <f>Y33/Y13</f>
        <v>9464</v>
      </c>
      <c r="Z53" s="15">
        <f>Z33/Z13</f>
        <v>8985.5</v>
      </c>
      <c r="AA53" s="15">
        <f>AA33/AA13</f>
        <v>4193.4</v>
      </c>
      <c r="AB53" s="60">
        <f>AB33/AB13</f>
        <v>3806</v>
      </c>
      <c r="AC53" s="60">
        <v>2658.48</v>
      </c>
    </row>
    <row r="54" spans="1:29" ht="12.75">
      <c r="A54" s="4" t="s">
        <v>17</v>
      </c>
      <c r="B54" s="15">
        <f>B34/B14</f>
        <v>5253.019093078759</v>
      </c>
      <c r="C54" s="15">
        <f>C34/C14</f>
        <v>5476.354166666667</v>
      </c>
      <c r="D54" s="15">
        <f>D34/D14</f>
        <v>6371.424242424242</v>
      </c>
      <c r="E54" s="15">
        <f>E34/E14</f>
        <v>6268.725961538462</v>
      </c>
      <c r="F54" s="15">
        <f>F34/F14</f>
        <v>7123.693606755127</v>
      </c>
      <c r="G54" s="15">
        <f>G34/G14</f>
        <v>7635.753176043557</v>
      </c>
      <c r="H54" s="15">
        <f>H34/H14</f>
        <v>7186.99679144385</v>
      </c>
      <c r="I54" s="15">
        <f>I34/I14</f>
        <v>6441.114709851552</v>
      </c>
      <c r="J54" s="15">
        <f t="shared" si="12"/>
        <v>6731.736325385694</v>
      </c>
      <c r="K54" s="15">
        <f t="shared" si="12"/>
        <v>6767.750287686997</v>
      </c>
      <c r="L54" s="15">
        <f t="shared" si="12"/>
        <v>6756.380073800738</v>
      </c>
      <c r="M54" s="15">
        <f t="shared" si="12"/>
        <v>8503.786163522012</v>
      </c>
      <c r="N54" s="60">
        <f t="shared" si="12"/>
        <v>6869.017081612147</v>
      </c>
      <c r="P54" s="4" t="s">
        <v>17</v>
      </c>
      <c r="Q54" s="15"/>
      <c r="R54" s="15">
        <v>2495.049</v>
      </c>
      <c r="S54" s="15">
        <v>2821.678</v>
      </c>
      <c r="T54" s="15">
        <v>2822.563</v>
      </c>
      <c r="U54" s="58">
        <v>2764.064</v>
      </c>
      <c r="V54" s="15"/>
      <c r="W54" s="15"/>
      <c r="X54" s="15">
        <f>X34/X14</f>
        <v>8488</v>
      </c>
      <c r="Y54" s="15"/>
      <c r="Z54" s="15"/>
      <c r="AA54" s="15"/>
      <c r="AB54" s="60">
        <f>AB34/AB14</f>
        <v>3964.090909090909</v>
      </c>
      <c r="AC54" s="60">
        <v>2782.685</v>
      </c>
    </row>
    <row r="55" spans="1:29" ht="12.75">
      <c r="A55" s="4" t="s">
        <v>18</v>
      </c>
      <c r="B55" s="15"/>
      <c r="C55" s="15"/>
      <c r="D55" s="15"/>
      <c r="E55" s="15"/>
      <c r="F55" s="15"/>
      <c r="G55" s="15">
        <f>G35/G15</f>
        <v>4094.153846153846</v>
      </c>
      <c r="H55" s="15"/>
      <c r="I55" s="15"/>
      <c r="J55" s="15"/>
      <c r="K55" s="15"/>
      <c r="L55" s="15"/>
      <c r="M55" s="15"/>
      <c r="N55" s="60">
        <f>N35/N15</f>
        <v>4094.153846153846</v>
      </c>
      <c r="P55" s="4" t="s">
        <v>18</v>
      </c>
      <c r="Q55" s="15"/>
      <c r="R55" s="15"/>
      <c r="S55" s="15"/>
      <c r="T55" s="15"/>
      <c r="U55" s="58"/>
      <c r="V55" s="15"/>
      <c r="W55" s="15"/>
      <c r="X55" s="15"/>
      <c r="Y55" s="15"/>
      <c r="Z55" s="15"/>
      <c r="AA55" s="15"/>
      <c r="AB55" s="60"/>
      <c r="AC55" s="60"/>
    </row>
    <row r="56" spans="1:29" ht="12.75">
      <c r="A56" s="4" t="s">
        <v>19</v>
      </c>
      <c r="B56" s="15"/>
      <c r="C56" s="15"/>
      <c r="D56" s="15"/>
      <c r="E56" s="15"/>
      <c r="F56" s="15"/>
      <c r="G56" s="15">
        <f>G36/G16</f>
        <v>7758.052390998593</v>
      </c>
      <c r="H56" s="15"/>
      <c r="I56" s="15"/>
      <c r="J56" s="15"/>
      <c r="K56" s="15"/>
      <c r="L56" s="15"/>
      <c r="M56" s="15"/>
      <c r="N56" s="60"/>
      <c r="P56" s="4" t="s">
        <v>19</v>
      </c>
      <c r="Q56" s="15">
        <v>8666.148</v>
      </c>
      <c r="R56" s="15"/>
      <c r="S56" s="15"/>
      <c r="T56" s="15"/>
      <c r="U56" s="58"/>
      <c r="V56" s="15">
        <v>12287.27</v>
      </c>
      <c r="W56" s="15"/>
      <c r="X56" s="15"/>
      <c r="Y56" s="15"/>
      <c r="Z56" s="15"/>
      <c r="AA56" s="15"/>
      <c r="AB56" s="60">
        <f>AB36/AB16</f>
        <v>10837.666666666666</v>
      </c>
      <c r="AC56" s="60">
        <v>11959.418</v>
      </c>
    </row>
    <row r="57" spans="1:29" ht="12.75">
      <c r="A57" s="13" t="s">
        <v>26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60"/>
      <c r="P57" s="11" t="s">
        <v>35</v>
      </c>
      <c r="Q57" s="16"/>
      <c r="R57" s="16"/>
      <c r="S57" s="16"/>
      <c r="T57" s="16"/>
      <c r="U57" s="16"/>
      <c r="V57" s="15"/>
      <c r="W57" s="18"/>
      <c r="X57" s="18"/>
      <c r="Y57" s="18"/>
      <c r="Z57" s="18"/>
      <c r="AA57" s="18"/>
      <c r="AB57" s="62"/>
      <c r="AC57" s="62"/>
    </row>
    <row r="58" spans="1:29" ht="12.75">
      <c r="A58" s="1" t="s">
        <v>20</v>
      </c>
      <c r="B58" s="17">
        <f>B38/B18</f>
        <v>6837.179861111111</v>
      </c>
      <c r="C58" s="17">
        <f aca="true" t="shared" si="13" ref="C58:J58">C38/C18</f>
        <v>6744.310632043116</v>
      </c>
      <c r="D58" s="17">
        <f t="shared" si="13"/>
        <v>6996.367134559536</v>
      </c>
      <c r="E58" s="17">
        <f t="shared" si="13"/>
        <v>6826.42989571263</v>
      </c>
      <c r="F58" s="17">
        <f t="shared" si="13"/>
        <v>7259.355340243353</v>
      </c>
      <c r="G58" s="17">
        <f t="shared" si="13"/>
        <v>7372.683829381675</v>
      </c>
      <c r="H58" s="17">
        <f t="shared" si="13"/>
        <v>7077.513524031913</v>
      </c>
      <c r="I58" s="17">
        <f t="shared" si="13"/>
        <v>6923.482030058811</v>
      </c>
      <c r="J58" s="17">
        <f t="shared" si="13"/>
        <v>7243.105129292073</v>
      </c>
      <c r="K58" s="17">
        <f>K38/K18</f>
        <v>6501.047485511311</v>
      </c>
      <c r="L58" s="64">
        <f>L38/L18</f>
        <v>6506.427625170466</v>
      </c>
      <c r="M58" s="17">
        <f>M38/M18</f>
        <v>7123.740865384615</v>
      </c>
      <c r="N58" s="66">
        <f>N38/N18</f>
        <v>6952.919544564768</v>
      </c>
      <c r="P58" s="1" t="s">
        <v>20</v>
      </c>
      <c r="Q58" s="17">
        <f>Q38/Q18</f>
        <v>3657.201342281879</v>
      </c>
      <c r="R58" s="17">
        <f aca="true" t="shared" si="14" ref="R58:W58">R38/R18</f>
        <v>3522.4843870967743</v>
      </c>
      <c r="S58" s="17">
        <f t="shared" si="14"/>
        <v>3463.4132033835967</v>
      </c>
      <c r="T58" s="17">
        <f t="shared" si="14"/>
        <v>3410.6506458395916</v>
      </c>
      <c r="U58" s="64">
        <f t="shared" si="14"/>
        <v>3919.60008760403</v>
      </c>
      <c r="V58" s="17">
        <f t="shared" si="14"/>
        <v>3986.1381055676065</v>
      </c>
      <c r="W58" s="17">
        <f t="shared" si="14"/>
        <v>3557.7700628930816</v>
      </c>
      <c r="X58" s="17"/>
      <c r="Y58" s="17"/>
      <c r="Z58" s="17"/>
      <c r="AA58" s="17"/>
      <c r="AB58" s="66"/>
      <c r="AC58" s="17">
        <f>AC38/AC18</f>
        <v>3584.0782914335928</v>
      </c>
    </row>
    <row r="59" spans="1:16" ht="12.75">
      <c r="A59" s="5" t="s">
        <v>24</v>
      </c>
      <c r="P59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50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9" width="11.140625" style="0" customWidth="1"/>
    <col min="10" max="10" width="11.140625" style="0" bestFit="1" customWidth="1"/>
    <col min="11" max="12" width="10.7109375" style="0" customWidth="1"/>
    <col min="13" max="13" width="11.140625" style="0" bestFit="1" customWidth="1"/>
    <col min="14" max="14" width="12.7109375" style="0" bestFit="1" customWidth="1"/>
    <col min="16" max="16" width="20.57421875" style="0" bestFit="1" customWidth="1"/>
    <col min="17" max="24" width="11.140625" style="0" customWidth="1"/>
    <col min="25" max="28" width="11.140625" style="0" bestFit="1" customWidth="1"/>
    <col min="29" max="29" width="12.7109375" style="0" bestFit="1" customWidth="1"/>
    <col min="31" max="31" width="20.57421875" style="0" bestFit="1" customWidth="1"/>
    <col min="32" max="32" width="14.00390625" style="0" customWidth="1"/>
    <col min="33" max="33" width="12.140625" style="0" customWidth="1"/>
    <col min="34" max="34" width="12.7109375" style="0" customWidth="1"/>
    <col min="35" max="35" width="12.8515625" style="0" customWidth="1"/>
    <col min="36" max="36" width="12.421875" style="0" customWidth="1"/>
    <col min="37" max="38" width="10.7109375" style="0" customWidth="1"/>
    <col min="39" max="39" width="12.00390625" style="0" customWidth="1"/>
    <col min="40" max="40" width="12.140625" style="0" customWidth="1"/>
    <col min="41" max="41" width="11.7109375" style="0" customWidth="1"/>
    <col min="42" max="42" width="11.8515625" style="0" customWidth="1"/>
    <col min="43" max="43" width="11.7109375" style="0" customWidth="1"/>
    <col min="44" max="44" width="12.7109375" style="0" bestFit="1" customWidth="1"/>
  </cols>
  <sheetData>
    <row r="1" spans="1:31" ht="12.75">
      <c r="A1" t="s">
        <v>86</v>
      </c>
      <c r="P1" t="s">
        <v>87</v>
      </c>
      <c r="AE1" t="s">
        <v>88</v>
      </c>
    </row>
    <row r="2" spans="1:31" ht="12.75">
      <c r="A2" t="s">
        <v>23</v>
      </c>
      <c r="P2" t="s">
        <v>23</v>
      </c>
      <c r="AE2" t="s">
        <v>23</v>
      </c>
    </row>
    <row r="3" spans="1:44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  <c r="AE3" s="1" t="s">
        <v>21</v>
      </c>
      <c r="AF3" s="61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  <c r="AM3" s="2" t="s">
        <v>7</v>
      </c>
      <c r="AN3" s="2" t="s">
        <v>8</v>
      </c>
      <c r="AO3" s="2" t="s">
        <v>28</v>
      </c>
      <c r="AP3" s="2" t="s">
        <v>29</v>
      </c>
      <c r="AQ3" s="2" t="s">
        <v>30</v>
      </c>
      <c r="AR3" s="6" t="s">
        <v>25</v>
      </c>
    </row>
    <row r="4" spans="1:44" ht="12.75">
      <c r="A4" s="4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P4" s="4" t="s">
        <v>9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  <c r="AE4" s="13" t="s">
        <v>9</v>
      </c>
      <c r="AF4" s="76">
        <v>861</v>
      </c>
      <c r="AG4" s="76">
        <v>919</v>
      </c>
      <c r="AH4" s="76">
        <v>1208</v>
      </c>
      <c r="AI4" s="76">
        <v>635</v>
      </c>
      <c r="AJ4" s="76">
        <v>730</v>
      </c>
      <c r="AK4" s="76">
        <v>834</v>
      </c>
      <c r="AL4" s="76">
        <v>777</v>
      </c>
      <c r="AM4" s="76">
        <v>634</v>
      </c>
      <c r="AN4" s="76">
        <v>973</v>
      </c>
      <c r="AO4" s="76">
        <v>1133</v>
      </c>
      <c r="AP4" s="76">
        <v>1035</v>
      </c>
      <c r="AQ4" s="76">
        <v>960</v>
      </c>
      <c r="AR4" s="76">
        <f>SUM(AF4:AQ4)</f>
        <v>10699</v>
      </c>
    </row>
    <row r="5" spans="1:44" ht="12.75">
      <c r="A5" s="4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P5" s="4" t="s">
        <v>27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  <c r="AE5" s="13" t="s">
        <v>27</v>
      </c>
      <c r="AF5" s="77">
        <v>428</v>
      </c>
      <c r="AG5" s="77">
        <v>522</v>
      </c>
      <c r="AH5" s="77">
        <v>841</v>
      </c>
      <c r="AI5" s="77">
        <v>206</v>
      </c>
      <c r="AJ5" s="77">
        <v>445</v>
      </c>
      <c r="AK5" s="77">
        <v>949</v>
      </c>
      <c r="AL5" s="77">
        <v>842</v>
      </c>
      <c r="AM5" s="77">
        <v>783</v>
      </c>
      <c r="AN5" s="77">
        <v>981</v>
      </c>
      <c r="AO5" s="77">
        <v>623</v>
      </c>
      <c r="AP5" s="77">
        <v>871</v>
      </c>
      <c r="AQ5" s="77">
        <v>650</v>
      </c>
      <c r="AR5" s="77">
        <f aca="true" t="shared" si="0" ref="AR5:AR14">SUM(AF5:AQ5)</f>
        <v>8141</v>
      </c>
    </row>
    <row r="6" spans="1:44" ht="12.75">
      <c r="A6" s="4" t="s">
        <v>13</v>
      </c>
      <c r="B6" s="8">
        <f>411+157</f>
        <v>568</v>
      </c>
      <c r="C6" s="8">
        <f>598+173</f>
        <v>771</v>
      </c>
      <c r="D6" s="8">
        <f>696+212</f>
        <v>908</v>
      </c>
      <c r="E6" s="8">
        <f>280+114</f>
        <v>394</v>
      </c>
      <c r="F6" s="8">
        <f>187+215</f>
        <v>402</v>
      </c>
      <c r="G6" s="8">
        <f>191+96</f>
        <v>287</v>
      </c>
      <c r="H6" s="8">
        <f>375+312</f>
        <v>687</v>
      </c>
      <c r="I6" s="8">
        <f>332+536</f>
        <v>868</v>
      </c>
      <c r="J6" s="8">
        <f>128+385</f>
        <v>513</v>
      </c>
      <c r="K6" s="8">
        <f>282+159</f>
        <v>441</v>
      </c>
      <c r="L6" s="8">
        <f>383+256</f>
        <v>639</v>
      </c>
      <c r="M6" s="8">
        <f>417+334</f>
        <v>751</v>
      </c>
      <c r="N6" s="30">
        <f aca="true" t="shared" si="1" ref="N6:N15">SUM(B6:M6)</f>
        <v>7229</v>
      </c>
      <c r="P6" s="4" t="s">
        <v>13</v>
      </c>
      <c r="Q6" s="34">
        <f>38+1419+383</f>
        <v>1840</v>
      </c>
      <c r="R6" s="34">
        <f>19+1854+270</f>
        <v>2143</v>
      </c>
      <c r="S6" s="34">
        <f>38+1780+382</f>
        <v>2200</v>
      </c>
      <c r="T6" s="34">
        <f>1232+362</f>
        <v>1594</v>
      </c>
      <c r="U6" s="34">
        <f>985+467</f>
        <v>1452</v>
      </c>
      <c r="V6" s="34">
        <f>19+998+307</f>
        <v>1324</v>
      </c>
      <c r="W6" s="34">
        <f>1476+443</f>
        <v>1919</v>
      </c>
      <c r="X6" s="34">
        <f>38+711+1688</f>
        <v>2437</v>
      </c>
      <c r="Y6" s="34">
        <f>19+761+651</f>
        <v>1431</v>
      </c>
      <c r="Z6" s="34">
        <f>1423+374</f>
        <v>1797</v>
      </c>
      <c r="AA6" s="34">
        <f>1621+593</f>
        <v>2214</v>
      </c>
      <c r="AB6" s="34">
        <f>19+1566+686</f>
        <v>2271</v>
      </c>
      <c r="AC6" s="34">
        <f aca="true" t="shared" si="2" ref="AC6:AC13">SUM(Q6:AB6)</f>
        <v>22622</v>
      </c>
      <c r="AE6" s="13" t="s">
        <v>13</v>
      </c>
      <c r="AF6" s="77">
        <v>66</v>
      </c>
      <c r="AG6" s="77">
        <v>43</v>
      </c>
      <c r="AH6" s="77">
        <v>81</v>
      </c>
      <c r="AI6" s="77">
        <v>66</v>
      </c>
      <c r="AJ6" s="77">
        <v>91</v>
      </c>
      <c r="AK6" s="77">
        <v>88</v>
      </c>
      <c r="AL6" s="77">
        <v>41</v>
      </c>
      <c r="AM6" s="77">
        <v>91</v>
      </c>
      <c r="AN6" s="77">
        <v>43</v>
      </c>
      <c r="AO6" s="77">
        <v>108</v>
      </c>
      <c r="AP6" s="77">
        <v>109</v>
      </c>
      <c r="AQ6" s="77">
        <v>141</v>
      </c>
      <c r="AR6" s="77">
        <f t="shared" si="0"/>
        <v>968</v>
      </c>
    </row>
    <row r="7" spans="1:44" ht="12.75">
      <c r="A7" s="4" t="s">
        <v>12</v>
      </c>
      <c r="B7" s="8">
        <v>24209</v>
      </c>
      <c r="C7" s="8">
        <v>24492</v>
      </c>
      <c r="D7" s="8">
        <v>31784</v>
      </c>
      <c r="E7" s="8">
        <v>34772</v>
      </c>
      <c r="F7" s="8">
        <v>35438</v>
      </c>
      <c r="G7" s="8">
        <v>35272</v>
      </c>
      <c r="H7" s="8">
        <v>27866</v>
      </c>
      <c r="I7" s="8">
        <v>27341</v>
      </c>
      <c r="J7" s="8">
        <v>28116</v>
      </c>
      <c r="K7" s="8">
        <v>20988</v>
      </c>
      <c r="L7" s="8">
        <v>21030</v>
      </c>
      <c r="M7" s="8">
        <v>22879</v>
      </c>
      <c r="N7" s="30">
        <f t="shared" si="1"/>
        <v>334187</v>
      </c>
      <c r="P7" s="4" t="s">
        <v>12</v>
      </c>
      <c r="Q7" s="34">
        <v>1866</v>
      </c>
      <c r="R7" s="34">
        <v>1881</v>
      </c>
      <c r="S7" s="34">
        <v>1879</v>
      </c>
      <c r="T7" s="34">
        <v>1708</v>
      </c>
      <c r="U7" s="34">
        <v>1712</v>
      </c>
      <c r="V7" s="34">
        <v>1751</v>
      </c>
      <c r="W7" s="34">
        <v>1544</v>
      </c>
      <c r="X7" s="34">
        <v>1663</v>
      </c>
      <c r="Y7" s="34">
        <v>1103</v>
      </c>
      <c r="Z7" s="34">
        <v>843</v>
      </c>
      <c r="AA7" s="34">
        <v>1250</v>
      </c>
      <c r="AB7" s="34">
        <v>1101</v>
      </c>
      <c r="AC7" s="34">
        <f t="shared" si="2"/>
        <v>18301</v>
      </c>
      <c r="AE7" s="13" t="s">
        <v>12</v>
      </c>
      <c r="AF7" s="77">
        <v>3405</v>
      </c>
      <c r="AG7" s="77">
        <v>3241</v>
      </c>
      <c r="AH7" s="77">
        <v>3434</v>
      </c>
      <c r="AI7" s="77">
        <v>2877</v>
      </c>
      <c r="AJ7" s="77">
        <v>2831</v>
      </c>
      <c r="AK7" s="77">
        <v>3467</v>
      </c>
      <c r="AL7" s="77">
        <v>2746</v>
      </c>
      <c r="AM7" s="77">
        <v>3482</v>
      </c>
      <c r="AN7" s="77">
        <v>3265</v>
      </c>
      <c r="AO7" s="77">
        <v>3718</v>
      </c>
      <c r="AP7" s="77">
        <v>4080</v>
      </c>
      <c r="AQ7" s="77">
        <v>3232</v>
      </c>
      <c r="AR7" s="77">
        <f t="shared" si="0"/>
        <v>39778</v>
      </c>
    </row>
    <row r="8" spans="1:44" ht="12.75">
      <c r="A8" s="4" t="s">
        <v>77</v>
      </c>
      <c r="B8" s="8">
        <v>228</v>
      </c>
      <c r="C8" s="8">
        <v>203</v>
      </c>
      <c r="D8" s="8">
        <v>180</v>
      </c>
      <c r="E8" s="8">
        <v>219</v>
      </c>
      <c r="F8" s="8">
        <v>167</v>
      </c>
      <c r="G8" s="8">
        <v>177</v>
      </c>
      <c r="H8" s="8">
        <v>159</v>
      </c>
      <c r="I8" s="8">
        <v>251</v>
      </c>
      <c r="J8" s="8">
        <v>244</v>
      </c>
      <c r="K8" s="8">
        <v>168</v>
      </c>
      <c r="L8" s="8">
        <v>204</v>
      </c>
      <c r="M8" s="8">
        <v>300</v>
      </c>
      <c r="N8" s="30">
        <f t="shared" si="1"/>
        <v>2500</v>
      </c>
      <c r="P8" s="4" t="s">
        <v>77</v>
      </c>
      <c r="Q8" s="34">
        <v>185</v>
      </c>
      <c r="R8" s="34">
        <v>124</v>
      </c>
      <c r="S8" s="34">
        <v>167</v>
      </c>
      <c r="T8" s="34">
        <v>105</v>
      </c>
      <c r="U8" s="34">
        <v>189</v>
      </c>
      <c r="V8" s="34">
        <v>206</v>
      </c>
      <c r="W8" s="34">
        <v>148</v>
      </c>
      <c r="X8" s="34">
        <v>229</v>
      </c>
      <c r="Y8" s="34">
        <v>127</v>
      </c>
      <c r="Z8" s="34">
        <v>104</v>
      </c>
      <c r="AA8" s="34">
        <v>209</v>
      </c>
      <c r="AB8" s="34">
        <v>228</v>
      </c>
      <c r="AC8" s="34">
        <f t="shared" si="2"/>
        <v>2021</v>
      </c>
      <c r="AE8" s="13" t="s">
        <v>77</v>
      </c>
      <c r="AF8" s="78">
        <v>505</v>
      </c>
      <c r="AG8" s="78">
        <v>466</v>
      </c>
      <c r="AH8" s="78">
        <v>369</v>
      </c>
      <c r="AI8" s="78">
        <v>663</v>
      </c>
      <c r="AJ8" s="78">
        <v>738</v>
      </c>
      <c r="AK8" s="78">
        <v>836</v>
      </c>
      <c r="AL8" s="78">
        <v>716</v>
      </c>
      <c r="AM8" s="78">
        <v>662</v>
      </c>
      <c r="AN8" s="78">
        <v>775</v>
      </c>
      <c r="AO8" s="78">
        <v>901</v>
      </c>
      <c r="AP8" s="78">
        <v>925</v>
      </c>
      <c r="AQ8" s="78">
        <v>802</v>
      </c>
      <c r="AR8" s="78">
        <f t="shared" si="0"/>
        <v>8358</v>
      </c>
    </row>
    <row r="9" spans="1:44" ht="12.75">
      <c r="A9" s="4" t="s">
        <v>14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0"/>
      <c r="P9" s="4" t="s">
        <v>14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E9" s="13" t="s">
        <v>14</v>
      </c>
      <c r="AF9" s="78">
        <v>5557</v>
      </c>
      <c r="AG9" s="78">
        <v>5535</v>
      </c>
      <c r="AH9" s="78">
        <v>7157</v>
      </c>
      <c r="AI9" s="78">
        <v>5116</v>
      </c>
      <c r="AJ9" s="78">
        <v>2824</v>
      </c>
      <c r="AK9" s="78">
        <v>2504</v>
      </c>
      <c r="AL9" s="78">
        <v>964</v>
      </c>
      <c r="AM9" s="78">
        <v>2687</v>
      </c>
      <c r="AN9" s="78">
        <v>3560</v>
      </c>
      <c r="AO9" s="78">
        <v>4892</v>
      </c>
      <c r="AP9" s="78">
        <v>5369</v>
      </c>
      <c r="AQ9" s="78">
        <v>6528</v>
      </c>
      <c r="AR9" s="78">
        <f t="shared" si="0"/>
        <v>52693</v>
      </c>
    </row>
    <row r="10" spans="1:44" ht="12.75">
      <c r="A10" s="4" t="s">
        <v>16</v>
      </c>
      <c r="B10" s="8">
        <v>1435</v>
      </c>
      <c r="C10" s="8">
        <v>1756</v>
      </c>
      <c r="D10" s="8">
        <v>1499</v>
      </c>
      <c r="E10" s="8">
        <v>1875</v>
      </c>
      <c r="F10" s="8">
        <v>1804</v>
      </c>
      <c r="G10" s="8">
        <v>1746</v>
      </c>
      <c r="H10" s="8">
        <v>1661</v>
      </c>
      <c r="I10" s="8">
        <v>1832</v>
      </c>
      <c r="J10" s="8">
        <v>1440</v>
      </c>
      <c r="K10" s="8">
        <v>1694</v>
      </c>
      <c r="L10" s="8">
        <v>1436</v>
      </c>
      <c r="M10" s="8">
        <v>881</v>
      </c>
      <c r="N10" s="30">
        <f t="shared" si="1"/>
        <v>19059</v>
      </c>
      <c r="P10" s="4" t="s">
        <v>16</v>
      </c>
      <c r="Q10" s="34">
        <v>14653</v>
      </c>
      <c r="R10" s="34">
        <v>14685</v>
      </c>
      <c r="S10" s="34">
        <v>11828</v>
      </c>
      <c r="T10" s="34">
        <v>12893</v>
      </c>
      <c r="U10" s="34">
        <v>14957</v>
      </c>
      <c r="V10" s="34">
        <v>14308</v>
      </c>
      <c r="W10" s="34">
        <v>12012</v>
      </c>
      <c r="X10" s="34">
        <v>11885</v>
      </c>
      <c r="Y10" s="34">
        <v>10141</v>
      </c>
      <c r="Z10" s="34">
        <v>12182</v>
      </c>
      <c r="AA10" s="34">
        <v>12160</v>
      </c>
      <c r="AB10" s="34">
        <v>12764</v>
      </c>
      <c r="AC10" s="34">
        <f t="shared" si="2"/>
        <v>154468</v>
      </c>
      <c r="AE10" s="13" t="s">
        <v>16</v>
      </c>
      <c r="AF10" s="78">
        <v>283</v>
      </c>
      <c r="AG10" s="78">
        <v>302</v>
      </c>
      <c r="AH10" s="78">
        <v>354</v>
      </c>
      <c r="AI10" s="78">
        <v>501</v>
      </c>
      <c r="AJ10" s="78">
        <v>558</v>
      </c>
      <c r="AK10" s="78">
        <v>1375</v>
      </c>
      <c r="AL10" s="78">
        <v>1203</v>
      </c>
      <c r="AM10" s="78">
        <v>1049</v>
      </c>
      <c r="AN10" s="78">
        <v>680</v>
      </c>
      <c r="AO10" s="78">
        <v>867</v>
      </c>
      <c r="AP10" s="78">
        <v>682</v>
      </c>
      <c r="AQ10" s="78">
        <v>810</v>
      </c>
      <c r="AR10" s="78">
        <f t="shared" si="0"/>
        <v>8664</v>
      </c>
    </row>
    <row r="11" spans="1:44" ht="12.75">
      <c r="A11" s="4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30"/>
      <c r="P11" s="4" t="s">
        <v>17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>
        <v>21</v>
      </c>
      <c r="AC11" s="34">
        <f t="shared" si="2"/>
        <v>21</v>
      </c>
      <c r="AE11" s="13" t="s">
        <v>17</v>
      </c>
      <c r="AF11" s="78">
        <v>2943</v>
      </c>
      <c r="AG11" s="78">
        <v>2412</v>
      </c>
      <c r="AH11" s="78">
        <v>2099</v>
      </c>
      <c r="AI11" s="78">
        <v>2103</v>
      </c>
      <c r="AJ11" s="78">
        <v>1401</v>
      </c>
      <c r="AK11" s="78">
        <v>2421</v>
      </c>
      <c r="AL11" s="78">
        <v>1862</v>
      </c>
      <c r="AM11" s="78">
        <v>3078</v>
      </c>
      <c r="AN11" s="78">
        <v>1905</v>
      </c>
      <c r="AO11" s="78">
        <v>1846</v>
      </c>
      <c r="AP11" s="78">
        <v>2285</v>
      </c>
      <c r="AQ11" s="78">
        <v>2283</v>
      </c>
      <c r="AR11" s="78">
        <f t="shared" si="0"/>
        <v>26638</v>
      </c>
    </row>
    <row r="12" spans="1:44" ht="12.75">
      <c r="A12" s="4" t="s">
        <v>18</v>
      </c>
      <c r="B12" s="8">
        <v>435</v>
      </c>
      <c r="C12" s="8">
        <v>262</v>
      </c>
      <c r="D12" s="8">
        <v>1326</v>
      </c>
      <c r="E12" s="8">
        <v>1913</v>
      </c>
      <c r="F12" s="8">
        <v>1958</v>
      </c>
      <c r="G12" s="8">
        <v>2093</v>
      </c>
      <c r="H12" s="8">
        <v>2274</v>
      </c>
      <c r="I12" s="8">
        <v>2433</v>
      </c>
      <c r="J12" s="8">
        <v>2131</v>
      </c>
      <c r="K12" s="8">
        <v>1861</v>
      </c>
      <c r="L12" s="8">
        <v>1716</v>
      </c>
      <c r="M12" s="8">
        <v>2232</v>
      </c>
      <c r="N12" s="30">
        <f t="shared" si="1"/>
        <v>20634</v>
      </c>
      <c r="P12" s="4" t="s">
        <v>18</v>
      </c>
      <c r="Q12" s="34">
        <v>4939</v>
      </c>
      <c r="R12" s="34">
        <v>8765</v>
      </c>
      <c r="S12" s="34">
        <v>21337</v>
      </c>
      <c r="T12" s="34">
        <v>25518</v>
      </c>
      <c r="U12" s="34">
        <v>30486</v>
      </c>
      <c r="V12" s="34">
        <v>33424</v>
      </c>
      <c r="W12" s="34">
        <v>35206</v>
      </c>
      <c r="X12" s="34">
        <v>30993</v>
      </c>
      <c r="Y12" s="34">
        <v>23654</v>
      </c>
      <c r="Z12" s="34">
        <v>21655</v>
      </c>
      <c r="AA12" s="34">
        <v>19259</v>
      </c>
      <c r="AB12" s="34">
        <v>22942</v>
      </c>
      <c r="AC12" s="34">
        <f t="shared" si="2"/>
        <v>278178</v>
      </c>
      <c r="AE12" s="13" t="s">
        <v>18</v>
      </c>
      <c r="AF12" s="78">
        <v>79</v>
      </c>
      <c r="AG12" s="78">
        <v>27</v>
      </c>
      <c r="AH12" s="78">
        <v>120</v>
      </c>
      <c r="AI12" s="78">
        <v>87</v>
      </c>
      <c r="AJ12" s="78">
        <v>49</v>
      </c>
      <c r="AK12" s="78">
        <v>89</v>
      </c>
      <c r="AL12" s="78">
        <v>73</v>
      </c>
      <c r="AM12" s="78">
        <v>71</v>
      </c>
      <c r="AN12" s="78">
        <v>69</v>
      </c>
      <c r="AO12" s="78">
        <v>81</v>
      </c>
      <c r="AP12" s="78">
        <v>166</v>
      </c>
      <c r="AQ12" s="78">
        <v>83</v>
      </c>
      <c r="AR12" s="78">
        <f t="shared" si="0"/>
        <v>994</v>
      </c>
    </row>
    <row r="13" spans="1:44" ht="12.75">
      <c r="A13" s="4" t="s">
        <v>19</v>
      </c>
      <c r="B13" s="8">
        <v>606</v>
      </c>
      <c r="C13" s="25">
        <v>477</v>
      </c>
      <c r="D13" s="8">
        <v>541</v>
      </c>
      <c r="E13" s="8">
        <v>519</v>
      </c>
      <c r="F13" s="8">
        <v>462</v>
      </c>
      <c r="G13" s="8">
        <v>507</v>
      </c>
      <c r="H13" s="8">
        <v>618</v>
      </c>
      <c r="I13" s="8">
        <v>322</v>
      </c>
      <c r="J13" s="8">
        <v>123</v>
      </c>
      <c r="K13" s="8">
        <v>68</v>
      </c>
      <c r="L13" s="8">
        <v>207</v>
      </c>
      <c r="M13" s="8">
        <v>489</v>
      </c>
      <c r="N13" s="30">
        <f t="shared" si="1"/>
        <v>4939</v>
      </c>
      <c r="P13" s="4" t="s">
        <v>19</v>
      </c>
      <c r="Q13" s="34">
        <v>16095</v>
      </c>
      <c r="R13" s="35">
        <v>17695</v>
      </c>
      <c r="S13" s="34">
        <v>22567</v>
      </c>
      <c r="T13" s="34">
        <v>19776</v>
      </c>
      <c r="U13" s="34">
        <v>18477</v>
      </c>
      <c r="V13" s="34">
        <v>24503</v>
      </c>
      <c r="W13" s="34">
        <v>17708</v>
      </c>
      <c r="X13" s="34">
        <v>14825</v>
      </c>
      <c r="Y13" s="34">
        <v>6806</v>
      </c>
      <c r="Z13" s="34">
        <v>8695</v>
      </c>
      <c r="AA13" s="34">
        <v>7438</v>
      </c>
      <c r="AB13" s="34">
        <v>18031</v>
      </c>
      <c r="AC13" s="34">
        <f t="shared" si="2"/>
        <v>192616</v>
      </c>
      <c r="AE13" s="13" t="s">
        <v>19</v>
      </c>
      <c r="AF13" s="78">
        <v>93</v>
      </c>
      <c r="AG13" s="78">
        <v>50</v>
      </c>
      <c r="AH13" s="78">
        <v>83</v>
      </c>
      <c r="AI13" s="78">
        <v>76</v>
      </c>
      <c r="AJ13" s="78">
        <v>60</v>
      </c>
      <c r="AK13" s="78">
        <v>68</v>
      </c>
      <c r="AL13" s="78">
        <v>37</v>
      </c>
      <c r="AM13" s="78">
        <v>78</v>
      </c>
      <c r="AN13" s="78">
        <v>68</v>
      </c>
      <c r="AO13" s="78">
        <v>90</v>
      </c>
      <c r="AP13" s="78">
        <v>122</v>
      </c>
      <c r="AQ13" s="78">
        <v>121</v>
      </c>
      <c r="AR13" s="78">
        <f t="shared" si="0"/>
        <v>946</v>
      </c>
    </row>
    <row r="14" spans="1:44" ht="12.75">
      <c r="A14" s="4" t="s">
        <v>49</v>
      </c>
      <c r="B14" s="8"/>
      <c r="C14" s="25"/>
      <c r="D14" s="8"/>
      <c r="E14" s="8"/>
      <c r="F14" s="8"/>
      <c r="G14" s="8"/>
      <c r="H14" s="8"/>
      <c r="I14" s="8"/>
      <c r="J14" s="8"/>
      <c r="K14" s="8"/>
      <c r="L14" s="8"/>
      <c r="M14" s="8"/>
      <c r="N14" s="30"/>
      <c r="P14" s="4" t="s">
        <v>49</v>
      </c>
      <c r="Q14" s="34"/>
      <c r="R14" s="3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E14" s="13" t="s">
        <v>49</v>
      </c>
      <c r="AF14" s="79">
        <f>2+48+147</f>
        <v>197</v>
      </c>
      <c r="AG14" s="79">
        <f>1+87</f>
        <v>88</v>
      </c>
      <c r="AH14" s="79">
        <v>107</v>
      </c>
      <c r="AI14" s="79">
        <v>51</v>
      </c>
      <c r="AJ14" s="79">
        <v>77</v>
      </c>
      <c r="AK14" s="79">
        <v>59</v>
      </c>
      <c r="AL14" s="79">
        <v>54</v>
      </c>
      <c r="AM14" s="79">
        <v>122</v>
      </c>
      <c r="AN14" s="79">
        <v>118</v>
      </c>
      <c r="AO14" s="79">
        <v>83</v>
      </c>
      <c r="AP14" s="79">
        <v>90</v>
      </c>
      <c r="AQ14" s="79">
        <v>129</v>
      </c>
      <c r="AR14" s="79">
        <f t="shared" si="0"/>
        <v>1175</v>
      </c>
    </row>
    <row r="15" spans="1:44" ht="12.75">
      <c r="A15" s="1" t="s">
        <v>20</v>
      </c>
      <c r="B15" s="10">
        <f>SUM(B4:B14)</f>
        <v>27481</v>
      </c>
      <c r="C15" s="10">
        <f aca="true" t="shared" si="3" ref="C15:M15">SUM(C4:C14)</f>
        <v>27961</v>
      </c>
      <c r="D15" s="10">
        <f t="shared" si="3"/>
        <v>36238</v>
      </c>
      <c r="E15" s="10">
        <f t="shared" si="3"/>
        <v>39692</v>
      </c>
      <c r="F15" s="10">
        <f t="shared" si="3"/>
        <v>40231</v>
      </c>
      <c r="G15" s="10">
        <f t="shared" si="3"/>
        <v>40082</v>
      </c>
      <c r="H15" s="10">
        <f t="shared" si="3"/>
        <v>33265</v>
      </c>
      <c r="I15" s="10">
        <f t="shared" si="3"/>
        <v>33047</v>
      </c>
      <c r="J15" s="10">
        <f t="shared" si="3"/>
        <v>32567</v>
      </c>
      <c r="K15" s="10">
        <f t="shared" si="3"/>
        <v>25220</v>
      </c>
      <c r="L15" s="10">
        <f t="shared" si="3"/>
        <v>25232</v>
      </c>
      <c r="M15" s="10">
        <f t="shared" si="3"/>
        <v>27532</v>
      </c>
      <c r="N15" s="46">
        <f t="shared" si="1"/>
        <v>388548</v>
      </c>
      <c r="P15" s="1" t="s">
        <v>20</v>
      </c>
      <c r="Q15" s="36">
        <f aca="true" t="shared" si="4" ref="Q15:AC15">SUM(Q4:Q14)</f>
        <v>39578</v>
      </c>
      <c r="R15" s="36">
        <f t="shared" si="4"/>
        <v>45293</v>
      </c>
      <c r="S15" s="36">
        <f t="shared" si="4"/>
        <v>59978</v>
      </c>
      <c r="T15" s="36">
        <f t="shared" si="4"/>
        <v>61594</v>
      </c>
      <c r="U15" s="36">
        <f t="shared" si="4"/>
        <v>67273</v>
      </c>
      <c r="V15" s="36">
        <f t="shared" si="4"/>
        <v>75516</v>
      </c>
      <c r="W15" s="36">
        <f t="shared" si="4"/>
        <v>68537</v>
      </c>
      <c r="X15" s="36">
        <f t="shared" si="4"/>
        <v>62032</v>
      </c>
      <c r="Y15" s="36">
        <f t="shared" si="4"/>
        <v>43262</v>
      </c>
      <c r="Z15" s="36">
        <f t="shared" si="4"/>
        <v>45276</v>
      </c>
      <c r="AA15" s="36">
        <f t="shared" si="4"/>
        <v>42530</v>
      </c>
      <c r="AB15" s="36">
        <f t="shared" si="4"/>
        <v>57358</v>
      </c>
      <c r="AC15" s="36">
        <f t="shared" si="4"/>
        <v>668227</v>
      </c>
      <c r="AE15" s="1" t="s">
        <v>20</v>
      </c>
      <c r="AF15" s="55">
        <f aca="true" t="shared" si="5" ref="AF15:AR15">SUM(AF4:AF14)</f>
        <v>14417</v>
      </c>
      <c r="AG15" s="55">
        <f t="shared" si="5"/>
        <v>13605</v>
      </c>
      <c r="AH15" s="55">
        <f t="shared" si="5"/>
        <v>15853</v>
      </c>
      <c r="AI15" s="55">
        <f t="shared" si="5"/>
        <v>12381</v>
      </c>
      <c r="AJ15" s="55">
        <f t="shared" si="5"/>
        <v>9804</v>
      </c>
      <c r="AK15" s="55">
        <f t="shared" si="5"/>
        <v>12690</v>
      </c>
      <c r="AL15" s="55">
        <f t="shared" si="5"/>
        <v>9315</v>
      </c>
      <c r="AM15" s="55">
        <f t="shared" si="5"/>
        <v>12737</v>
      </c>
      <c r="AN15" s="55">
        <f t="shared" si="5"/>
        <v>12437</v>
      </c>
      <c r="AO15" s="55">
        <f t="shared" si="5"/>
        <v>14342</v>
      </c>
      <c r="AP15" s="55">
        <f t="shared" si="5"/>
        <v>15734</v>
      </c>
      <c r="AQ15" s="55">
        <f t="shared" si="5"/>
        <v>15739</v>
      </c>
      <c r="AR15" s="55">
        <f t="shared" si="5"/>
        <v>159054</v>
      </c>
    </row>
    <row r="16" spans="1:31" ht="12.75">
      <c r="A16" s="5" t="s">
        <v>24</v>
      </c>
      <c r="P16" s="5" t="s">
        <v>24</v>
      </c>
      <c r="AE16" s="5" t="s">
        <v>24</v>
      </c>
    </row>
    <row r="18" spans="1:31" ht="12.75">
      <c r="A18" t="s">
        <v>86</v>
      </c>
      <c r="P18" t="s">
        <v>87</v>
      </c>
      <c r="AE18" t="s">
        <v>88</v>
      </c>
    </row>
    <row r="19" spans="1:31" ht="12.75">
      <c r="A19" t="s">
        <v>31</v>
      </c>
      <c r="P19" t="s">
        <v>31</v>
      </c>
      <c r="AE19" t="s">
        <v>31</v>
      </c>
    </row>
    <row r="20" spans="1:44" ht="12.75">
      <c r="A20" s="1" t="s">
        <v>21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28</v>
      </c>
      <c r="L20" s="2" t="s">
        <v>29</v>
      </c>
      <c r="M20" s="2" t="s">
        <v>30</v>
      </c>
      <c r="N20" s="6" t="s">
        <v>25</v>
      </c>
      <c r="P20" s="1" t="s">
        <v>21</v>
      </c>
      <c r="Q20" s="2" t="s">
        <v>0</v>
      </c>
      <c r="R20" s="2" t="s">
        <v>1</v>
      </c>
      <c r="S20" s="2" t="s">
        <v>2</v>
      </c>
      <c r="T20" s="2" t="s">
        <v>3</v>
      </c>
      <c r="U20" s="2" t="s">
        <v>4</v>
      </c>
      <c r="V20" s="2" t="s">
        <v>5</v>
      </c>
      <c r="W20" s="2" t="s">
        <v>6</v>
      </c>
      <c r="X20" s="2" t="s">
        <v>7</v>
      </c>
      <c r="Y20" s="2" t="s">
        <v>8</v>
      </c>
      <c r="Z20" s="2" t="s">
        <v>28</v>
      </c>
      <c r="AA20" s="2" t="s">
        <v>29</v>
      </c>
      <c r="AB20" s="2" t="s">
        <v>30</v>
      </c>
      <c r="AC20" s="6" t="s">
        <v>25</v>
      </c>
      <c r="AE20" s="1" t="s">
        <v>21</v>
      </c>
      <c r="AF20" s="2" t="s">
        <v>0</v>
      </c>
      <c r="AG20" s="2" t="s">
        <v>1</v>
      </c>
      <c r="AH20" s="2" t="s">
        <v>2</v>
      </c>
      <c r="AI20" s="2" t="s">
        <v>3</v>
      </c>
      <c r="AJ20" s="2" t="s">
        <v>4</v>
      </c>
      <c r="AK20" s="2" t="s">
        <v>5</v>
      </c>
      <c r="AL20" s="2" t="s">
        <v>6</v>
      </c>
      <c r="AM20" s="2" t="s">
        <v>7</v>
      </c>
      <c r="AN20" s="2" t="s">
        <v>8</v>
      </c>
      <c r="AO20" s="2" t="s">
        <v>28</v>
      </c>
      <c r="AP20" s="2" t="s">
        <v>29</v>
      </c>
      <c r="AQ20" s="2" t="s">
        <v>30</v>
      </c>
      <c r="AR20" s="6" t="s">
        <v>25</v>
      </c>
    </row>
    <row r="21" spans="1:44" ht="12.75">
      <c r="A21" s="4" t="s">
        <v>9</v>
      </c>
      <c r="B21" s="25"/>
      <c r="C21" s="25"/>
      <c r="D21" s="25"/>
      <c r="E21" s="25"/>
      <c r="F21" s="25"/>
      <c r="G21" s="25"/>
      <c r="H21" s="25"/>
      <c r="I21" s="25"/>
      <c r="J21" s="29"/>
      <c r="K21" s="29"/>
      <c r="L21" s="29"/>
      <c r="M21" s="29"/>
      <c r="N21" s="30"/>
      <c r="P21" s="4" t="s">
        <v>9</v>
      </c>
      <c r="Q21" s="25"/>
      <c r="R21" s="25"/>
      <c r="S21" s="25"/>
      <c r="T21" s="25"/>
      <c r="U21" s="25"/>
      <c r="V21" s="25"/>
      <c r="W21" s="25"/>
      <c r="X21" s="25"/>
      <c r="Y21" s="27"/>
      <c r="Z21" s="27"/>
      <c r="AA21" s="27"/>
      <c r="AB21" s="27"/>
      <c r="AC21" s="28"/>
      <c r="AE21" s="4" t="s">
        <v>9</v>
      </c>
      <c r="AF21" s="76">
        <v>3247340</v>
      </c>
      <c r="AG21" s="76">
        <v>3680154</v>
      </c>
      <c r="AH21" s="76">
        <v>4618376</v>
      </c>
      <c r="AI21" s="76">
        <v>2442193</v>
      </c>
      <c r="AJ21" s="76">
        <v>2800691</v>
      </c>
      <c r="AK21" s="76">
        <v>3217698</v>
      </c>
      <c r="AL21" s="76">
        <v>3083317</v>
      </c>
      <c r="AM21" s="76">
        <v>2665136</v>
      </c>
      <c r="AN21" s="76">
        <v>4035950</v>
      </c>
      <c r="AO21" s="76">
        <v>4542657</v>
      </c>
      <c r="AP21" s="76">
        <v>3971745</v>
      </c>
      <c r="AQ21" s="76">
        <v>3855641</v>
      </c>
      <c r="AR21" s="76">
        <f>SUM(AF21:AQ21)</f>
        <v>42160898</v>
      </c>
    </row>
    <row r="22" spans="1:44" ht="12.75">
      <c r="A22" s="4" t="s">
        <v>27</v>
      </c>
      <c r="B22" s="25"/>
      <c r="C22" s="25"/>
      <c r="D22" s="25"/>
      <c r="E22" s="25"/>
      <c r="F22" s="25"/>
      <c r="G22" s="25"/>
      <c r="H22" s="25"/>
      <c r="I22" s="25"/>
      <c r="J22" s="29"/>
      <c r="K22" s="29"/>
      <c r="L22" s="29"/>
      <c r="M22" s="29"/>
      <c r="N22" s="30"/>
      <c r="P22" s="4" t="s">
        <v>27</v>
      </c>
      <c r="Q22" s="25"/>
      <c r="R22" s="25"/>
      <c r="S22" s="25"/>
      <c r="T22" s="25"/>
      <c r="U22" s="25"/>
      <c r="V22" s="25"/>
      <c r="W22" s="25"/>
      <c r="X22" s="25"/>
      <c r="Y22" s="27"/>
      <c r="Z22" s="27"/>
      <c r="AA22" s="27"/>
      <c r="AB22" s="27"/>
      <c r="AC22" s="28"/>
      <c r="AE22" s="4" t="s">
        <v>27</v>
      </c>
      <c r="AF22" s="77">
        <v>378732</v>
      </c>
      <c r="AG22" s="77">
        <v>230490</v>
      </c>
      <c r="AH22" s="77">
        <v>191008</v>
      </c>
      <c r="AI22" s="77">
        <v>127293</v>
      </c>
      <c r="AJ22" s="77">
        <v>138236</v>
      </c>
      <c r="AK22" s="77">
        <v>255298</v>
      </c>
      <c r="AL22" s="77">
        <v>177937</v>
      </c>
      <c r="AM22" s="77">
        <v>270274</v>
      </c>
      <c r="AN22" s="77">
        <v>321297</v>
      </c>
      <c r="AO22" s="77">
        <v>190984</v>
      </c>
      <c r="AP22" s="77">
        <v>195022</v>
      </c>
      <c r="AQ22" s="77">
        <v>318832</v>
      </c>
      <c r="AR22" s="77">
        <f aca="true" t="shared" si="6" ref="AR22:AR31">SUM(AF22:AQ22)</f>
        <v>2795403</v>
      </c>
    </row>
    <row r="23" spans="1:44" ht="12.75">
      <c r="A23" s="4" t="s">
        <v>13</v>
      </c>
      <c r="B23" s="25">
        <f>1372562+567048</f>
        <v>1939610</v>
      </c>
      <c r="C23" s="25">
        <f>1961096+593050</f>
        <v>2554146</v>
      </c>
      <c r="D23" s="25">
        <f>2221663+762071</f>
        <v>2983734</v>
      </c>
      <c r="E23" s="25">
        <f>867275+406400</f>
        <v>1273675</v>
      </c>
      <c r="F23" s="25">
        <f>572123+785310</f>
        <v>1357433</v>
      </c>
      <c r="G23" s="25">
        <f>680940+358162</f>
        <v>1039102</v>
      </c>
      <c r="H23" s="25">
        <f>1372781+1120832</f>
        <v>2493613</v>
      </c>
      <c r="I23" s="25">
        <f>1155215+1981868</f>
        <v>3137083</v>
      </c>
      <c r="J23" s="8">
        <f>431365+1326362</f>
        <v>1757727</v>
      </c>
      <c r="K23" s="8">
        <f>913962+560150</f>
        <v>1474112</v>
      </c>
      <c r="L23" s="8">
        <f>1266029+936443</f>
        <v>2202472</v>
      </c>
      <c r="M23" s="8">
        <f>1410626+1140301</f>
        <v>2550927</v>
      </c>
      <c r="N23" s="8">
        <f aca="true" t="shared" si="7" ref="N23:N30">SUM(B23:M23)</f>
        <v>24763634</v>
      </c>
      <c r="P23" s="4" t="s">
        <v>13</v>
      </c>
      <c r="Q23" s="25">
        <f>96421+3701983+979109</f>
        <v>4777513</v>
      </c>
      <c r="R23" s="25">
        <f>48166+4643973+693503</f>
        <v>5385642</v>
      </c>
      <c r="S23" s="25">
        <f>95557+4373657+981460</f>
        <v>5450674</v>
      </c>
      <c r="T23" s="25">
        <f>3022123+1012697</f>
        <v>4034820</v>
      </c>
      <c r="U23" s="25">
        <f>2642375+1239784</f>
        <v>3882159</v>
      </c>
      <c r="V23" s="25">
        <f>48721+2612643+840858</f>
        <v>3502222</v>
      </c>
      <c r="W23" s="25">
        <f>3946465+1241274</f>
        <v>5187739</v>
      </c>
      <c r="X23" s="25">
        <f>103166+4723460+1954174</f>
        <v>6780800</v>
      </c>
      <c r="Y23" s="20">
        <f>50835+2081062+1823434</f>
        <v>3955331</v>
      </c>
      <c r="Z23" s="8">
        <f>1046799+3982190</f>
        <v>5028989</v>
      </c>
      <c r="AA23" s="8">
        <f>1576387+4398750</f>
        <v>5975137</v>
      </c>
      <c r="AB23" s="8">
        <f>48620+4269424+1861440</f>
        <v>6179484</v>
      </c>
      <c r="AC23" s="8">
        <f aca="true" t="shared" si="8" ref="AC23:AC30">SUM(Q23:AB23)</f>
        <v>60140510</v>
      </c>
      <c r="AE23" s="4" t="s">
        <v>13</v>
      </c>
      <c r="AF23" s="77">
        <f>169964</f>
        <v>169964</v>
      </c>
      <c r="AG23" s="77">
        <v>110016</v>
      </c>
      <c r="AH23" s="77">
        <v>208747</v>
      </c>
      <c r="AI23" s="77">
        <v>166948</v>
      </c>
      <c r="AJ23" s="77">
        <v>229934</v>
      </c>
      <c r="AK23" s="77">
        <v>224694</v>
      </c>
      <c r="AL23" s="77">
        <v>104253</v>
      </c>
      <c r="AM23" s="77">
        <v>230144</v>
      </c>
      <c r="AN23" s="77">
        <v>109241</v>
      </c>
      <c r="AO23" s="77">
        <v>276279</v>
      </c>
      <c r="AP23" s="77">
        <v>277355</v>
      </c>
      <c r="AQ23" s="77">
        <v>353390</v>
      </c>
      <c r="AR23" s="77">
        <f t="shared" si="6"/>
        <v>2460965</v>
      </c>
    </row>
    <row r="24" spans="1:44" ht="12.75">
      <c r="A24" s="4" t="s">
        <v>12</v>
      </c>
      <c r="B24" s="25">
        <v>86687703</v>
      </c>
      <c r="C24" s="25">
        <v>91873351</v>
      </c>
      <c r="D24" s="25">
        <v>117159487</v>
      </c>
      <c r="E24" s="25">
        <v>127961604</v>
      </c>
      <c r="F24" s="25">
        <v>123050675</v>
      </c>
      <c r="G24" s="25">
        <v>120274223</v>
      </c>
      <c r="H24" s="25">
        <v>90674210</v>
      </c>
      <c r="I24" s="25">
        <v>82776808</v>
      </c>
      <c r="J24" s="8">
        <v>91310080</v>
      </c>
      <c r="K24" s="8">
        <v>68828687</v>
      </c>
      <c r="L24" s="8">
        <v>71967583</v>
      </c>
      <c r="M24" s="8">
        <v>80979233</v>
      </c>
      <c r="N24" s="8">
        <f t="shared" si="7"/>
        <v>1153543644</v>
      </c>
      <c r="P24" s="4" t="s">
        <v>12</v>
      </c>
      <c r="Q24" s="25">
        <v>3403792</v>
      </c>
      <c r="R24" s="25">
        <v>3532586</v>
      </c>
      <c r="S24" s="25">
        <v>3785814</v>
      </c>
      <c r="T24" s="25">
        <v>3481454</v>
      </c>
      <c r="U24" s="25">
        <v>3719973</v>
      </c>
      <c r="V24" s="25">
        <v>3910524</v>
      </c>
      <c r="W24" s="25">
        <v>3268212</v>
      </c>
      <c r="X24" s="25">
        <v>3047721</v>
      </c>
      <c r="Y24" s="20">
        <v>2282559</v>
      </c>
      <c r="Z24" s="30">
        <v>1927126</v>
      </c>
      <c r="AA24" s="8">
        <v>2973494</v>
      </c>
      <c r="AB24" s="8">
        <v>2254924</v>
      </c>
      <c r="AC24" s="8">
        <f t="shared" si="8"/>
        <v>37588179</v>
      </c>
      <c r="AE24" s="4" t="s">
        <v>12</v>
      </c>
      <c r="AF24" s="77">
        <v>13801602</v>
      </c>
      <c r="AG24" s="77">
        <v>12993359</v>
      </c>
      <c r="AH24" s="77">
        <v>13816438</v>
      </c>
      <c r="AI24" s="77">
        <v>11352262</v>
      </c>
      <c r="AJ24" s="77">
        <v>11797563</v>
      </c>
      <c r="AK24" s="77">
        <v>13697019</v>
      </c>
      <c r="AL24" s="77">
        <v>10158457</v>
      </c>
      <c r="AM24" s="77">
        <v>13300103</v>
      </c>
      <c r="AN24" s="77">
        <v>13242109</v>
      </c>
      <c r="AO24" s="77">
        <v>16144038</v>
      </c>
      <c r="AP24" s="77">
        <v>17523097</v>
      </c>
      <c r="AQ24" s="77">
        <v>14373970</v>
      </c>
      <c r="AR24" s="77">
        <f t="shared" si="6"/>
        <v>162200017</v>
      </c>
    </row>
    <row r="25" spans="1:44" ht="12.75">
      <c r="A25" s="4" t="s">
        <v>77</v>
      </c>
      <c r="B25" s="25">
        <v>1621242</v>
      </c>
      <c r="C25" s="25">
        <v>1402938</v>
      </c>
      <c r="D25" s="25">
        <v>1249909</v>
      </c>
      <c r="E25" s="25">
        <v>1503139</v>
      </c>
      <c r="F25" s="25">
        <v>1165268</v>
      </c>
      <c r="G25" s="25">
        <v>1253637</v>
      </c>
      <c r="H25" s="25">
        <v>1233323</v>
      </c>
      <c r="I25" s="25">
        <v>1885680</v>
      </c>
      <c r="J25" s="8">
        <v>1696488</v>
      </c>
      <c r="K25" s="8">
        <v>107303</v>
      </c>
      <c r="L25" s="8">
        <v>1285570</v>
      </c>
      <c r="M25" s="8">
        <v>1745776</v>
      </c>
      <c r="N25" s="8">
        <f t="shared" si="7"/>
        <v>16150273</v>
      </c>
      <c r="P25" s="4" t="s">
        <v>77</v>
      </c>
      <c r="Q25" s="25">
        <v>567248</v>
      </c>
      <c r="R25" s="25">
        <v>389504</v>
      </c>
      <c r="S25" s="25">
        <v>541706</v>
      </c>
      <c r="T25" s="25">
        <v>342848</v>
      </c>
      <c r="U25" s="25">
        <v>642066</v>
      </c>
      <c r="V25" s="25">
        <v>725306</v>
      </c>
      <c r="W25" s="25">
        <v>520186</v>
      </c>
      <c r="X25" s="25">
        <v>741467</v>
      </c>
      <c r="Y25" s="8">
        <v>409152</v>
      </c>
      <c r="Z25" s="8">
        <v>333957</v>
      </c>
      <c r="AA25" s="8">
        <v>653813</v>
      </c>
      <c r="AB25" s="43">
        <v>702553</v>
      </c>
      <c r="AC25" s="8">
        <f>SUM(Q25:AB25)</f>
        <v>6569806</v>
      </c>
      <c r="AE25" s="4" t="s">
        <v>77</v>
      </c>
      <c r="AF25" s="80">
        <v>1821816</v>
      </c>
      <c r="AG25" s="80">
        <v>1770527</v>
      </c>
      <c r="AH25" s="80">
        <v>1412038</v>
      </c>
      <c r="AI25" s="80">
        <v>2230876</v>
      </c>
      <c r="AJ25" s="80">
        <v>2732844</v>
      </c>
      <c r="AK25" s="80">
        <v>2920227</v>
      </c>
      <c r="AL25" s="80">
        <v>2447210</v>
      </c>
      <c r="AM25" s="80">
        <v>2368983</v>
      </c>
      <c r="AN25" s="80">
        <v>2726454</v>
      </c>
      <c r="AO25" s="80">
        <v>3197259</v>
      </c>
      <c r="AP25" s="80">
        <v>2969652</v>
      </c>
      <c r="AQ25" s="80">
        <v>2533389</v>
      </c>
      <c r="AR25" s="80">
        <f t="shared" si="6"/>
        <v>29131275</v>
      </c>
    </row>
    <row r="26" spans="1:44" ht="12.75">
      <c r="A26" s="4" t="s">
        <v>14</v>
      </c>
      <c r="B26" s="25"/>
      <c r="C26" s="25"/>
      <c r="D26" s="25"/>
      <c r="E26" s="25"/>
      <c r="F26" s="25"/>
      <c r="G26" s="25"/>
      <c r="H26" s="25"/>
      <c r="I26" s="25"/>
      <c r="J26" s="8"/>
      <c r="K26" s="8"/>
      <c r="L26" s="8"/>
      <c r="M26" s="8"/>
      <c r="N26" s="8"/>
      <c r="P26" s="4" t="s">
        <v>14</v>
      </c>
      <c r="Q26" s="25"/>
      <c r="R26" s="25"/>
      <c r="S26" s="25"/>
      <c r="T26" s="25"/>
      <c r="U26" s="25"/>
      <c r="V26" s="25"/>
      <c r="W26" s="25"/>
      <c r="X26" s="25"/>
      <c r="Y26" s="20"/>
      <c r="Z26" s="8"/>
      <c r="AA26" s="8"/>
      <c r="AB26" s="8"/>
      <c r="AC26" s="8"/>
      <c r="AE26" s="4" t="s">
        <v>14</v>
      </c>
      <c r="AF26" s="80">
        <v>18632709</v>
      </c>
      <c r="AG26" s="80">
        <v>16831945</v>
      </c>
      <c r="AH26" s="80">
        <v>24033436</v>
      </c>
      <c r="AI26" s="80">
        <v>17943597</v>
      </c>
      <c r="AJ26" s="80">
        <v>12702498</v>
      </c>
      <c r="AK26" s="80">
        <v>9602934</v>
      </c>
      <c r="AL26" s="80">
        <v>5972183</v>
      </c>
      <c r="AM26" s="80">
        <v>13262769</v>
      </c>
      <c r="AN26" s="80">
        <v>17404326</v>
      </c>
      <c r="AO26" s="80">
        <v>23405289</v>
      </c>
      <c r="AP26" s="80">
        <v>24344574</v>
      </c>
      <c r="AQ26" s="80">
        <v>30501657</v>
      </c>
      <c r="AR26" s="80">
        <f t="shared" si="6"/>
        <v>214637917</v>
      </c>
    </row>
    <row r="27" spans="1:44" ht="12.75">
      <c r="A27" s="4" t="s">
        <v>16</v>
      </c>
      <c r="B27" s="25">
        <v>4664725</v>
      </c>
      <c r="C27" s="25">
        <v>5373681</v>
      </c>
      <c r="D27" s="25">
        <v>4218687</v>
      </c>
      <c r="E27" s="25">
        <v>5434819</v>
      </c>
      <c r="F27" s="25">
        <v>5834553</v>
      </c>
      <c r="G27" s="25">
        <v>5183941</v>
      </c>
      <c r="H27" s="25">
        <v>5158687</v>
      </c>
      <c r="I27" s="25">
        <v>6118962</v>
      </c>
      <c r="J27" s="8">
        <v>4801302</v>
      </c>
      <c r="K27" s="8">
        <v>6066760</v>
      </c>
      <c r="L27" s="8">
        <v>4473271</v>
      </c>
      <c r="M27" s="8">
        <v>2900578</v>
      </c>
      <c r="N27" s="8">
        <f t="shared" si="7"/>
        <v>60229966</v>
      </c>
      <c r="P27" s="4" t="s">
        <v>16</v>
      </c>
      <c r="Q27" s="25">
        <v>34602667</v>
      </c>
      <c r="R27" s="25">
        <v>34354474</v>
      </c>
      <c r="S27" s="25">
        <v>26670948</v>
      </c>
      <c r="T27" s="25">
        <v>30177420</v>
      </c>
      <c r="U27" s="25">
        <v>36047526</v>
      </c>
      <c r="V27" s="25">
        <v>34775475</v>
      </c>
      <c r="W27" s="25">
        <v>29794465</v>
      </c>
      <c r="X27" s="25">
        <v>30040146</v>
      </c>
      <c r="Y27" s="20">
        <v>26140851</v>
      </c>
      <c r="Z27" s="8">
        <v>31501006</v>
      </c>
      <c r="AA27" s="8">
        <v>30060760</v>
      </c>
      <c r="AB27" s="8">
        <v>31720707</v>
      </c>
      <c r="AC27" s="8">
        <f t="shared" si="8"/>
        <v>375886445</v>
      </c>
      <c r="AE27" s="4" t="s">
        <v>16</v>
      </c>
      <c r="AF27" s="80">
        <v>708944</v>
      </c>
      <c r="AG27" s="80">
        <v>796899</v>
      </c>
      <c r="AH27" s="80">
        <v>853029</v>
      </c>
      <c r="AI27" s="80">
        <v>1199799</v>
      </c>
      <c r="AJ27" s="80">
        <v>1414193</v>
      </c>
      <c r="AK27" s="80">
        <v>3549367</v>
      </c>
      <c r="AL27" s="80">
        <v>3117326</v>
      </c>
      <c r="AM27" s="80">
        <v>2862525</v>
      </c>
      <c r="AN27" s="80">
        <v>1989278</v>
      </c>
      <c r="AO27" s="80">
        <v>2496118</v>
      </c>
      <c r="AP27" s="80">
        <v>1953723</v>
      </c>
      <c r="AQ27" s="80">
        <v>2196363</v>
      </c>
      <c r="AR27" s="80">
        <f t="shared" si="6"/>
        <v>23137564</v>
      </c>
    </row>
    <row r="28" spans="1:44" ht="12.75">
      <c r="A28" s="4" t="s">
        <v>17</v>
      </c>
      <c r="B28" s="25"/>
      <c r="C28" s="25"/>
      <c r="D28" s="25"/>
      <c r="E28" s="25"/>
      <c r="F28" s="25"/>
      <c r="G28" s="25"/>
      <c r="H28" s="25"/>
      <c r="I28" s="25"/>
      <c r="J28" s="8"/>
      <c r="K28" s="8"/>
      <c r="L28" s="8"/>
      <c r="M28" s="8"/>
      <c r="N28" s="8"/>
      <c r="P28" s="4" t="s">
        <v>17</v>
      </c>
      <c r="Q28" s="25"/>
      <c r="R28" s="25"/>
      <c r="S28" s="25"/>
      <c r="T28" s="25"/>
      <c r="U28" s="25"/>
      <c r="V28" s="25"/>
      <c r="W28" s="25"/>
      <c r="X28" s="25"/>
      <c r="Y28" s="22"/>
      <c r="Z28" s="8"/>
      <c r="AA28" s="8"/>
      <c r="AB28" s="8">
        <v>105184</v>
      </c>
      <c r="AC28" s="8">
        <f t="shared" si="8"/>
        <v>105184</v>
      </c>
      <c r="AE28" s="4" t="s">
        <v>17</v>
      </c>
      <c r="AF28" s="80">
        <v>9380461</v>
      </c>
      <c r="AG28" s="80">
        <v>7060314</v>
      </c>
      <c r="AH28" s="80">
        <v>6559132</v>
      </c>
      <c r="AI28" s="80">
        <v>7035098</v>
      </c>
      <c r="AJ28" s="80">
        <v>5205217</v>
      </c>
      <c r="AK28" s="80">
        <v>8840073</v>
      </c>
      <c r="AL28" s="80">
        <v>6931743</v>
      </c>
      <c r="AM28" s="80">
        <v>11819869</v>
      </c>
      <c r="AN28" s="80">
        <v>7486223</v>
      </c>
      <c r="AO28" s="80">
        <v>7244880</v>
      </c>
      <c r="AP28" s="80">
        <v>9001182</v>
      </c>
      <c r="AQ28" s="80">
        <v>8972322</v>
      </c>
      <c r="AR28" s="80">
        <f t="shared" si="6"/>
        <v>95536514</v>
      </c>
    </row>
    <row r="29" spans="1:44" ht="12.75">
      <c r="A29" s="4" t="s">
        <v>18</v>
      </c>
      <c r="B29" s="25">
        <v>2578754</v>
      </c>
      <c r="C29" s="25">
        <v>1426697</v>
      </c>
      <c r="D29" s="25">
        <v>10107771</v>
      </c>
      <c r="E29" s="25">
        <v>14217044</v>
      </c>
      <c r="F29" s="25">
        <v>13345624</v>
      </c>
      <c r="G29" s="25">
        <v>14403207</v>
      </c>
      <c r="H29" s="25">
        <v>14275157</v>
      </c>
      <c r="I29" s="25">
        <v>14942976</v>
      </c>
      <c r="J29" s="8">
        <v>14851092</v>
      </c>
      <c r="K29" s="8">
        <v>11318451</v>
      </c>
      <c r="L29" s="8">
        <v>10711100</v>
      </c>
      <c r="M29" s="8">
        <v>14442211</v>
      </c>
      <c r="N29" s="8">
        <f t="shared" si="7"/>
        <v>136620084</v>
      </c>
      <c r="P29" s="4" t="s">
        <v>18</v>
      </c>
      <c r="Q29" s="25">
        <v>15556541</v>
      </c>
      <c r="R29" s="25">
        <v>26125745</v>
      </c>
      <c r="S29" s="25">
        <v>61994097</v>
      </c>
      <c r="T29" s="25">
        <v>73127289</v>
      </c>
      <c r="U29" s="25">
        <v>88642435</v>
      </c>
      <c r="V29" s="25">
        <v>98672548</v>
      </c>
      <c r="W29" s="25">
        <v>104700775</v>
      </c>
      <c r="X29" s="25">
        <v>92696944</v>
      </c>
      <c r="Y29" s="8">
        <v>71199275</v>
      </c>
      <c r="Z29" s="8">
        <v>65718257</v>
      </c>
      <c r="AA29" s="8">
        <v>58118619</v>
      </c>
      <c r="AB29" s="8">
        <v>69511264</v>
      </c>
      <c r="AC29" s="8">
        <f t="shared" si="8"/>
        <v>826063789</v>
      </c>
      <c r="AE29" s="4" t="s">
        <v>18</v>
      </c>
      <c r="AF29" s="80">
        <v>414032</v>
      </c>
      <c r="AG29" s="80">
        <v>123729</v>
      </c>
      <c r="AH29" s="80">
        <v>601899</v>
      </c>
      <c r="AI29" s="80">
        <v>459156</v>
      </c>
      <c r="AJ29" s="80">
        <v>185488</v>
      </c>
      <c r="AK29" s="80">
        <v>400501</v>
      </c>
      <c r="AL29" s="80">
        <v>457358</v>
      </c>
      <c r="AM29" s="80">
        <v>416161</v>
      </c>
      <c r="AN29" s="80">
        <v>383598</v>
      </c>
      <c r="AO29" s="80">
        <v>284629</v>
      </c>
      <c r="AP29" s="80">
        <v>817710</v>
      </c>
      <c r="AQ29" s="80">
        <v>400057</v>
      </c>
      <c r="AR29" s="80">
        <f t="shared" si="6"/>
        <v>4944318</v>
      </c>
    </row>
    <row r="30" spans="1:44" ht="12.75">
      <c r="A30" s="4" t="s">
        <v>19</v>
      </c>
      <c r="B30" s="25">
        <v>3094035</v>
      </c>
      <c r="C30" s="25">
        <v>2573616</v>
      </c>
      <c r="D30" s="25">
        <v>3037076</v>
      </c>
      <c r="E30" s="25">
        <v>2759067</v>
      </c>
      <c r="F30" s="25">
        <v>2638152</v>
      </c>
      <c r="G30" s="25">
        <v>2847358</v>
      </c>
      <c r="H30" s="25">
        <v>3317689</v>
      </c>
      <c r="I30" s="25">
        <v>1748203</v>
      </c>
      <c r="J30" s="8">
        <v>743938</v>
      </c>
      <c r="K30" s="8">
        <v>392849</v>
      </c>
      <c r="L30" s="8">
        <v>1110133</v>
      </c>
      <c r="M30" s="8">
        <v>3168049</v>
      </c>
      <c r="N30" s="8">
        <f t="shared" si="7"/>
        <v>27430165</v>
      </c>
      <c r="P30" s="4" t="s">
        <v>19</v>
      </c>
      <c r="Q30" s="25">
        <v>50094058</v>
      </c>
      <c r="R30" s="25">
        <v>53565902</v>
      </c>
      <c r="S30" s="25">
        <v>66872856</v>
      </c>
      <c r="T30" s="25">
        <v>60556798</v>
      </c>
      <c r="U30" s="25">
        <v>56823153</v>
      </c>
      <c r="V30" s="25">
        <v>77360825</v>
      </c>
      <c r="W30" s="25">
        <v>57222851</v>
      </c>
      <c r="X30" s="25">
        <v>47238547</v>
      </c>
      <c r="Y30" s="20">
        <v>24345127</v>
      </c>
      <c r="Z30" s="8">
        <v>30066518</v>
      </c>
      <c r="AA30" s="8">
        <v>24453130</v>
      </c>
      <c r="AB30" s="8">
        <v>57051069</v>
      </c>
      <c r="AC30" s="8">
        <f t="shared" si="8"/>
        <v>605650834</v>
      </c>
      <c r="AE30" s="4" t="s">
        <v>19</v>
      </c>
      <c r="AF30" s="80">
        <v>355387</v>
      </c>
      <c r="AG30" s="80">
        <v>214496</v>
      </c>
      <c r="AH30" s="80">
        <v>241279</v>
      </c>
      <c r="AI30" s="80">
        <v>300872</v>
      </c>
      <c r="AJ30" s="80">
        <v>244771</v>
      </c>
      <c r="AK30" s="80">
        <v>350315</v>
      </c>
      <c r="AL30" s="80">
        <v>178363</v>
      </c>
      <c r="AM30" s="80">
        <v>288553</v>
      </c>
      <c r="AN30" s="80">
        <v>249918</v>
      </c>
      <c r="AO30" s="80">
        <v>478928</v>
      </c>
      <c r="AP30" s="80">
        <v>544325</v>
      </c>
      <c r="AQ30" s="80">
        <v>545860</v>
      </c>
      <c r="AR30" s="80">
        <f t="shared" si="6"/>
        <v>3993067</v>
      </c>
    </row>
    <row r="31" spans="1:44" ht="12.75">
      <c r="A31" s="4" t="s">
        <v>49</v>
      </c>
      <c r="B31" s="25"/>
      <c r="C31" s="25"/>
      <c r="D31" s="25"/>
      <c r="E31" s="25"/>
      <c r="F31" s="25"/>
      <c r="G31" s="25"/>
      <c r="H31" s="25"/>
      <c r="I31" s="25"/>
      <c r="J31" s="8"/>
      <c r="K31" s="8"/>
      <c r="L31" s="8"/>
      <c r="M31" s="8"/>
      <c r="N31" s="8"/>
      <c r="P31" s="4" t="s">
        <v>49</v>
      </c>
      <c r="Q31" s="25"/>
      <c r="R31" s="25"/>
      <c r="S31" s="25"/>
      <c r="T31" s="25"/>
      <c r="U31" s="25"/>
      <c r="V31" s="25"/>
      <c r="W31" s="25"/>
      <c r="X31" s="25"/>
      <c r="Y31" s="20"/>
      <c r="Z31" s="8"/>
      <c r="AA31" s="8"/>
      <c r="AB31" s="8"/>
      <c r="AC31" s="8"/>
      <c r="AE31" s="4" t="s">
        <v>49</v>
      </c>
      <c r="AF31" s="79">
        <v>641208</v>
      </c>
      <c r="AG31" s="79">
        <v>570295</v>
      </c>
      <c r="AH31" s="79">
        <v>701965</v>
      </c>
      <c r="AI31" s="79">
        <v>222164</v>
      </c>
      <c r="AJ31" s="79">
        <v>468413</v>
      </c>
      <c r="AK31" s="79">
        <v>382598</v>
      </c>
      <c r="AL31" s="79">
        <v>234166</v>
      </c>
      <c r="AM31" s="79">
        <v>591711</v>
      </c>
      <c r="AN31" s="79">
        <v>568090</v>
      </c>
      <c r="AO31" s="79">
        <v>391652</v>
      </c>
      <c r="AP31" s="79">
        <v>569811</v>
      </c>
      <c r="AQ31" s="79">
        <v>906941</v>
      </c>
      <c r="AR31" s="79">
        <f t="shared" si="6"/>
        <v>6249014</v>
      </c>
    </row>
    <row r="32" spans="1:44" ht="12.75">
      <c r="A32" s="1" t="s">
        <v>20</v>
      </c>
      <c r="B32" s="10">
        <f aca="true" t="shared" si="9" ref="B32:M32">SUM(B21:B31)</f>
        <v>100586069</v>
      </c>
      <c r="C32" s="10">
        <f t="shared" si="9"/>
        <v>105204429</v>
      </c>
      <c r="D32" s="10">
        <f t="shared" si="9"/>
        <v>138756664</v>
      </c>
      <c r="E32" s="10">
        <f t="shared" si="9"/>
        <v>153149348</v>
      </c>
      <c r="F32" s="10">
        <f t="shared" si="9"/>
        <v>147391705</v>
      </c>
      <c r="G32" s="10">
        <f t="shared" si="9"/>
        <v>145001468</v>
      </c>
      <c r="H32" s="10">
        <f t="shared" si="9"/>
        <v>117152679</v>
      </c>
      <c r="I32" s="10">
        <f t="shared" si="9"/>
        <v>110609712</v>
      </c>
      <c r="J32" s="10">
        <f t="shared" si="9"/>
        <v>115160627</v>
      </c>
      <c r="K32" s="10">
        <f t="shared" si="9"/>
        <v>88188162</v>
      </c>
      <c r="L32" s="10">
        <f t="shared" si="9"/>
        <v>91750129</v>
      </c>
      <c r="M32" s="10">
        <f t="shared" si="9"/>
        <v>105786774</v>
      </c>
      <c r="N32" s="10">
        <f>SUM(N21:N31)</f>
        <v>1418737766</v>
      </c>
      <c r="P32" s="1" t="s">
        <v>20</v>
      </c>
      <c r="Q32" s="10">
        <f aca="true" t="shared" si="10" ref="Q32:AC32">SUM(Q21:Q31)</f>
        <v>109001819</v>
      </c>
      <c r="R32" s="10">
        <f t="shared" si="10"/>
        <v>123353853</v>
      </c>
      <c r="S32" s="10">
        <f t="shared" si="10"/>
        <v>165316095</v>
      </c>
      <c r="T32" s="10">
        <f t="shared" si="10"/>
        <v>171720629</v>
      </c>
      <c r="U32" s="10">
        <f t="shared" si="10"/>
        <v>189757312</v>
      </c>
      <c r="V32" s="10">
        <f t="shared" si="10"/>
        <v>218946900</v>
      </c>
      <c r="W32" s="10">
        <f t="shared" si="10"/>
        <v>200694228</v>
      </c>
      <c r="X32" s="10">
        <f t="shared" si="10"/>
        <v>180545625</v>
      </c>
      <c r="Y32" s="10">
        <f t="shared" si="10"/>
        <v>128332295</v>
      </c>
      <c r="Z32" s="10">
        <f t="shared" si="10"/>
        <v>134575853</v>
      </c>
      <c r="AA32" s="10">
        <f t="shared" si="10"/>
        <v>122234953</v>
      </c>
      <c r="AB32" s="10">
        <f t="shared" si="10"/>
        <v>167525185</v>
      </c>
      <c r="AC32" s="10">
        <f t="shared" si="10"/>
        <v>1912004747</v>
      </c>
      <c r="AE32" s="1" t="s">
        <v>20</v>
      </c>
      <c r="AF32" s="55">
        <f aca="true" t="shared" si="11" ref="AF32:AR32">SUM(AF21:AF31)</f>
        <v>49552195</v>
      </c>
      <c r="AG32" s="55">
        <f t="shared" si="11"/>
        <v>44382224</v>
      </c>
      <c r="AH32" s="55">
        <f t="shared" si="11"/>
        <v>53237347</v>
      </c>
      <c r="AI32" s="55">
        <f t="shared" si="11"/>
        <v>43480258</v>
      </c>
      <c r="AJ32" s="55">
        <f t="shared" si="11"/>
        <v>37919848</v>
      </c>
      <c r="AK32" s="55">
        <f t="shared" si="11"/>
        <v>43440724</v>
      </c>
      <c r="AL32" s="55">
        <f t="shared" si="11"/>
        <v>32862313</v>
      </c>
      <c r="AM32" s="55">
        <f t="shared" si="11"/>
        <v>48076228</v>
      </c>
      <c r="AN32" s="55">
        <f t="shared" si="11"/>
        <v>48516484</v>
      </c>
      <c r="AO32" s="55">
        <f t="shared" si="11"/>
        <v>58652713</v>
      </c>
      <c r="AP32" s="55">
        <f t="shared" si="11"/>
        <v>62168196</v>
      </c>
      <c r="AQ32" s="55">
        <f t="shared" si="11"/>
        <v>64958422</v>
      </c>
      <c r="AR32" s="55">
        <f t="shared" si="11"/>
        <v>587246952</v>
      </c>
    </row>
    <row r="33" spans="1:31" ht="12.75">
      <c r="A33" s="5" t="s">
        <v>24</v>
      </c>
      <c r="P33" s="5" t="s">
        <v>24</v>
      </c>
      <c r="AE33" s="5" t="s">
        <v>24</v>
      </c>
    </row>
    <row r="35" spans="1:31" ht="12.75">
      <c r="A35" t="s">
        <v>86</v>
      </c>
      <c r="P35" t="s">
        <v>87</v>
      </c>
      <c r="AE35" t="s">
        <v>88</v>
      </c>
    </row>
    <row r="36" spans="1:31" ht="12.75">
      <c r="A36" t="s">
        <v>32</v>
      </c>
      <c r="P36" t="s">
        <v>32</v>
      </c>
      <c r="AE36" t="s">
        <v>32</v>
      </c>
    </row>
    <row r="37" spans="1:44" ht="12.75">
      <c r="A37" s="1" t="s">
        <v>21</v>
      </c>
      <c r="B37" s="2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8</v>
      </c>
      <c r="K37" s="2" t="s">
        <v>28</v>
      </c>
      <c r="L37" s="2" t="s">
        <v>29</v>
      </c>
      <c r="M37" s="2" t="s">
        <v>30</v>
      </c>
      <c r="N37" s="6" t="s">
        <v>25</v>
      </c>
      <c r="P37" s="1" t="s">
        <v>21</v>
      </c>
      <c r="Q37" s="2" t="s">
        <v>0</v>
      </c>
      <c r="R37" s="2" t="s">
        <v>1</v>
      </c>
      <c r="S37" s="2" t="s">
        <v>2</v>
      </c>
      <c r="T37" s="2" t="s">
        <v>3</v>
      </c>
      <c r="U37" s="2" t="s">
        <v>4</v>
      </c>
      <c r="V37" s="2" t="s">
        <v>5</v>
      </c>
      <c r="W37" s="2" t="s">
        <v>6</v>
      </c>
      <c r="X37" s="2" t="s">
        <v>7</v>
      </c>
      <c r="Y37" s="2" t="s">
        <v>8</v>
      </c>
      <c r="Z37" s="2" t="s">
        <v>28</v>
      </c>
      <c r="AA37" s="2" t="s">
        <v>29</v>
      </c>
      <c r="AB37" s="2" t="s">
        <v>30</v>
      </c>
      <c r="AC37" s="6" t="s">
        <v>25</v>
      </c>
      <c r="AE37" s="1" t="s">
        <v>21</v>
      </c>
      <c r="AF37" s="2" t="s">
        <v>0</v>
      </c>
      <c r="AG37" s="2" t="s">
        <v>1</v>
      </c>
      <c r="AH37" s="2" t="s">
        <v>2</v>
      </c>
      <c r="AI37" s="2" t="s">
        <v>3</v>
      </c>
      <c r="AJ37" s="2" t="s">
        <v>4</v>
      </c>
      <c r="AK37" s="2" t="s">
        <v>5</v>
      </c>
      <c r="AL37" s="2" t="s">
        <v>6</v>
      </c>
      <c r="AM37" s="2" t="s">
        <v>7</v>
      </c>
      <c r="AN37" s="2" t="s">
        <v>8</v>
      </c>
      <c r="AO37" s="2" t="s">
        <v>28</v>
      </c>
      <c r="AP37" s="2" t="s">
        <v>29</v>
      </c>
      <c r="AQ37" s="2" t="s">
        <v>30</v>
      </c>
      <c r="AR37" s="6" t="s">
        <v>25</v>
      </c>
    </row>
    <row r="38" spans="1:44" ht="12.75">
      <c r="A38" s="4" t="s">
        <v>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P38" s="4" t="s">
        <v>9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1"/>
      <c r="AE38" s="4" t="s">
        <v>9</v>
      </c>
      <c r="AF38" s="38">
        <f aca="true" t="shared" si="12" ref="AF38:AF46">AF21/AF4</f>
        <v>3771.5911730545877</v>
      </c>
      <c r="AG38" s="38">
        <f aca="true" t="shared" si="13" ref="AG38:AQ38">AG21/AG4</f>
        <v>4004.5201305767137</v>
      </c>
      <c r="AH38" s="38">
        <f t="shared" si="13"/>
        <v>3823.158940397351</v>
      </c>
      <c r="AI38" s="38">
        <f t="shared" si="13"/>
        <v>3845.973228346457</v>
      </c>
      <c r="AJ38" s="38">
        <f t="shared" si="13"/>
        <v>3836.56301369863</v>
      </c>
      <c r="AK38" s="38">
        <f t="shared" si="13"/>
        <v>3858.1510791366904</v>
      </c>
      <c r="AL38" s="38">
        <f t="shared" si="13"/>
        <v>3968.232947232947</v>
      </c>
      <c r="AM38" s="38">
        <f t="shared" si="13"/>
        <v>4203.6845425867505</v>
      </c>
      <c r="AN38" s="38">
        <f t="shared" si="13"/>
        <v>4147.944501541624</v>
      </c>
      <c r="AO38" s="38">
        <f t="shared" si="13"/>
        <v>4009.406001765225</v>
      </c>
      <c r="AP38" s="38">
        <f t="shared" si="13"/>
        <v>3837.4347826086955</v>
      </c>
      <c r="AQ38" s="38">
        <f t="shared" si="13"/>
        <v>4016.2927083333334</v>
      </c>
      <c r="AR38" s="31">
        <f>AR21/AR4</f>
        <v>3940.6391251518835</v>
      </c>
    </row>
    <row r="39" spans="1:44" ht="12.75">
      <c r="A39" s="4" t="s">
        <v>27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1"/>
      <c r="P39" s="4" t="s">
        <v>27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1"/>
      <c r="AE39" s="4" t="s">
        <v>27</v>
      </c>
      <c r="AF39" s="38">
        <f t="shared" si="12"/>
        <v>884.8878504672897</v>
      </c>
      <c r="AG39" s="38">
        <f aca="true" t="shared" si="14" ref="AG39:AQ46">AG22/AG5</f>
        <v>441.55172413793105</v>
      </c>
      <c r="AH39" s="38">
        <f t="shared" si="14"/>
        <v>227.12009512485136</v>
      </c>
      <c r="AI39" s="38">
        <f t="shared" si="14"/>
        <v>617.9271844660194</v>
      </c>
      <c r="AJ39" s="38">
        <f t="shared" si="14"/>
        <v>310.6426966292135</v>
      </c>
      <c r="AK39" s="38">
        <f t="shared" si="14"/>
        <v>269.0179135932561</v>
      </c>
      <c r="AL39" s="38">
        <f t="shared" si="14"/>
        <v>211.32660332541568</v>
      </c>
      <c r="AM39" s="38">
        <f t="shared" si="14"/>
        <v>345.17752234993617</v>
      </c>
      <c r="AN39" s="38">
        <f t="shared" si="14"/>
        <v>327.519877675841</v>
      </c>
      <c r="AO39" s="38">
        <f t="shared" si="14"/>
        <v>306.5553772070626</v>
      </c>
      <c r="AP39" s="38">
        <f t="shared" si="14"/>
        <v>223.90585533869117</v>
      </c>
      <c r="AQ39" s="38">
        <f t="shared" si="14"/>
        <v>490.51076923076926</v>
      </c>
      <c r="AR39" s="31">
        <f aca="true" t="shared" si="15" ref="AR39:AR49">AR22/AR5</f>
        <v>343.3734184989559</v>
      </c>
    </row>
    <row r="40" spans="1:44" ht="12.75">
      <c r="A40" s="4" t="s">
        <v>13</v>
      </c>
      <c r="B40" s="15">
        <f>B23/B6</f>
        <v>3414.806338028169</v>
      </c>
      <c r="C40" s="15">
        <f aca="true" t="shared" si="16" ref="C40:M44">C23/C6</f>
        <v>3312.770428015564</v>
      </c>
      <c r="D40" s="15">
        <f t="shared" si="16"/>
        <v>3286.0506607929515</v>
      </c>
      <c r="E40" s="15">
        <f t="shared" si="16"/>
        <v>3232.6776649746193</v>
      </c>
      <c r="F40" s="15">
        <f t="shared" si="16"/>
        <v>3376.6990049751244</v>
      </c>
      <c r="G40" s="15">
        <f t="shared" si="16"/>
        <v>3620.5644599303137</v>
      </c>
      <c r="H40" s="15">
        <f t="shared" si="16"/>
        <v>3629.713245997089</v>
      </c>
      <c r="I40" s="15">
        <f t="shared" si="16"/>
        <v>3614.150921658986</v>
      </c>
      <c r="J40" s="15">
        <f t="shared" si="16"/>
        <v>3426.3684210526317</v>
      </c>
      <c r="K40" s="15">
        <f t="shared" si="16"/>
        <v>3342.657596371882</v>
      </c>
      <c r="L40" s="15">
        <f t="shared" si="16"/>
        <v>3446.748043818466</v>
      </c>
      <c r="M40" s="15">
        <f t="shared" si="16"/>
        <v>3396.7070572569905</v>
      </c>
      <c r="N40" s="15">
        <f aca="true" t="shared" si="17" ref="N40:N49">N23/N6</f>
        <v>3425.5960713791674</v>
      </c>
      <c r="P40" s="4" t="s">
        <v>13</v>
      </c>
      <c r="Q40" s="15">
        <f>Q23/Q6</f>
        <v>2596.4744565217393</v>
      </c>
      <c r="R40" s="15">
        <f aca="true" t="shared" si="18" ref="R40:AC40">R23/R6</f>
        <v>2513.1320578628092</v>
      </c>
      <c r="S40" s="15">
        <f t="shared" si="18"/>
        <v>2477.579090909091</v>
      </c>
      <c r="T40" s="15">
        <f t="shared" si="18"/>
        <v>2531.254705144291</v>
      </c>
      <c r="U40" s="15">
        <f t="shared" si="18"/>
        <v>2673.663223140496</v>
      </c>
      <c r="V40" s="15">
        <f t="shared" si="18"/>
        <v>2645.182779456193</v>
      </c>
      <c r="W40" s="15">
        <f t="shared" si="18"/>
        <v>2703.3553934340803</v>
      </c>
      <c r="X40" s="15">
        <f t="shared" si="18"/>
        <v>2782.4374230611406</v>
      </c>
      <c r="Y40" s="15">
        <f t="shared" si="18"/>
        <v>2764.0328441649194</v>
      </c>
      <c r="Z40" s="15">
        <f t="shared" si="18"/>
        <v>2798.547022815804</v>
      </c>
      <c r="AA40" s="15">
        <f t="shared" si="18"/>
        <v>2698.797199638663</v>
      </c>
      <c r="AB40" s="15">
        <f t="shared" si="18"/>
        <v>2721.0409511228536</v>
      </c>
      <c r="AC40" s="15">
        <f t="shared" si="18"/>
        <v>2658.4965962337546</v>
      </c>
      <c r="AE40" s="4" t="s">
        <v>13</v>
      </c>
      <c r="AF40" s="38">
        <f t="shared" si="12"/>
        <v>2575.212121212121</v>
      </c>
      <c r="AG40" s="38">
        <f t="shared" si="14"/>
        <v>2558.5116279069766</v>
      </c>
      <c r="AH40" s="38">
        <f t="shared" si="14"/>
        <v>2577.1234567901233</v>
      </c>
      <c r="AI40" s="38">
        <f t="shared" si="14"/>
        <v>2529.5151515151515</v>
      </c>
      <c r="AJ40" s="38">
        <f t="shared" si="14"/>
        <v>2526.747252747253</v>
      </c>
      <c r="AK40" s="38">
        <f t="shared" si="14"/>
        <v>2553.340909090909</v>
      </c>
      <c r="AL40" s="38">
        <f t="shared" si="14"/>
        <v>2542.756097560976</v>
      </c>
      <c r="AM40" s="38">
        <f t="shared" si="14"/>
        <v>2529.054945054945</v>
      </c>
      <c r="AN40" s="38">
        <f t="shared" si="14"/>
        <v>2540.4883720930234</v>
      </c>
      <c r="AO40" s="38">
        <f t="shared" si="14"/>
        <v>2558.1388888888887</v>
      </c>
      <c r="AP40" s="38">
        <f t="shared" si="14"/>
        <v>2544.5412844036696</v>
      </c>
      <c r="AQ40" s="38">
        <f t="shared" si="14"/>
        <v>2506.3120567375886</v>
      </c>
      <c r="AR40" s="38">
        <f t="shared" si="15"/>
        <v>2542.319214876033</v>
      </c>
    </row>
    <row r="41" spans="1:44" ht="12.75">
      <c r="A41" s="4" t="s">
        <v>12</v>
      </c>
      <c r="B41" s="15">
        <f>B24/B7</f>
        <v>3580.804783345037</v>
      </c>
      <c r="C41" s="15">
        <f t="shared" si="16"/>
        <v>3751.157561652785</v>
      </c>
      <c r="D41" s="15">
        <f t="shared" si="16"/>
        <v>3686.1152466649887</v>
      </c>
      <c r="E41" s="15">
        <f t="shared" si="16"/>
        <v>3680.0185206487977</v>
      </c>
      <c r="F41" s="15">
        <f t="shared" si="16"/>
        <v>3472.280461651335</v>
      </c>
      <c r="G41" s="15">
        <f t="shared" si="16"/>
        <v>3409.9065264232254</v>
      </c>
      <c r="H41" s="15">
        <f t="shared" si="16"/>
        <v>3253.9370559104286</v>
      </c>
      <c r="I41" s="15">
        <f t="shared" si="16"/>
        <v>3027.5706082440292</v>
      </c>
      <c r="J41" s="15">
        <f aca="true" t="shared" si="19" ref="J41:M42">J24/J7</f>
        <v>3247.619860577607</v>
      </c>
      <c r="K41" s="15">
        <f t="shared" si="19"/>
        <v>3279.4304840861446</v>
      </c>
      <c r="L41" s="15">
        <f t="shared" si="19"/>
        <v>3422.1389919163103</v>
      </c>
      <c r="M41" s="15">
        <f t="shared" si="19"/>
        <v>3539.4568381485205</v>
      </c>
      <c r="N41" s="15">
        <f t="shared" si="17"/>
        <v>3451.790895516582</v>
      </c>
      <c r="P41" s="4" t="s">
        <v>12</v>
      </c>
      <c r="Q41" s="15">
        <f aca="true" t="shared" si="20" ref="Q41:AC41">Q24/Q7</f>
        <v>1824.111468381565</v>
      </c>
      <c r="R41" s="15">
        <f t="shared" si="20"/>
        <v>1878.0361509835193</v>
      </c>
      <c r="S41" s="15">
        <f t="shared" si="20"/>
        <v>2014.8025545502926</v>
      </c>
      <c r="T41" s="15">
        <f t="shared" si="20"/>
        <v>2038.3220140515223</v>
      </c>
      <c r="U41" s="15">
        <f t="shared" si="20"/>
        <v>2172.8814252336447</v>
      </c>
      <c r="V41" s="15">
        <f t="shared" si="20"/>
        <v>2233.3089663049686</v>
      </c>
      <c r="W41" s="15">
        <f t="shared" si="20"/>
        <v>2116.7176165803107</v>
      </c>
      <c r="X41" s="15">
        <f t="shared" si="20"/>
        <v>1832.664461815995</v>
      </c>
      <c r="Y41" s="15">
        <f t="shared" si="20"/>
        <v>2069.409791477788</v>
      </c>
      <c r="Z41" s="15">
        <f t="shared" si="20"/>
        <v>2286.0332147093714</v>
      </c>
      <c r="AA41" s="15">
        <f t="shared" si="20"/>
        <v>2378.7952</v>
      </c>
      <c r="AB41" s="15">
        <f t="shared" si="20"/>
        <v>2048.0690281562215</v>
      </c>
      <c r="AC41" s="15">
        <f t="shared" si="20"/>
        <v>2053.886618217584</v>
      </c>
      <c r="AE41" s="4" t="s">
        <v>12</v>
      </c>
      <c r="AF41" s="38">
        <f t="shared" si="12"/>
        <v>4053.3339207048457</v>
      </c>
      <c r="AG41" s="38">
        <f t="shared" si="14"/>
        <v>4009.058623881518</v>
      </c>
      <c r="AH41" s="38">
        <f t="shared" si="14"/>
        <v>4023.4239953407105</v>
      </c>
      <c r="AI41" s="38">
        <f t="shared" si="14"/>
        <v>3945.8679179701076</v>
      </c>
      <c r="AJ41" s="38">
        <f t="shared" si="14"/>
        <v>4167.277640409749</v>
      </c>
      <c r="AK41" s="38">
        <f t="shared" si="14"/>
        <v>3950.683299682723</v>
      </c>
      <c r="AL41" s="38">
        <f t="shared" si="14"/>
        <v>3699.3652585579025</v>
      </c>
      <c r="AM41" s="38">
        <f t="shared" si="14"/>
        <v>3819.673463526709</v>
      </c>
      <c r="AN41" s="38">
        <f t="shared" si="14"/>
        <v>4055.7761102603367</v>
      </c>
      <c r="AO41" s="38">
        <f t="shared" si="14"/>
        <v>4342.129639591178</v>
      </c>
      <c r="AP41" s="38">
        <f t="shared" si="14"/>
        <v>4294.876715686274</v>
      </c>
      <c r="AQ41" s="38">
        <f t="shared" si="14"/>
        <v>4447.391707920792</v>
      </c>
      <c r="AR41" s="38">
        <f t="shared" si="15"/>
        <v>4077.631278596209</v>
      </c>
    </row>
    <row r="42" spans="1:44" ht="12.75">
      <c r="A42" s="4" t="s">
        <v>77</v>
      </c>
      <c r="B42" s="15">
        <f>B25/B8</f>
        <v>7110.710526315789</v>
      </c>
      <c r="C42" s="15">
        <f t="shared" si="16"/>
        <v>6911.024630541872</v>
      </c>
      <c r="D42" s="15">
        <f t="shared" si="16"/>
        <v>6943.938888888889</v>
      </c>
      <c r="E42" s="15">
        <f t="shared" si="16"/>
        <v>6863.648401826484</v>
      </c>
      <c r="F42" s="15">
        <f t="shared" si="16"/>
        <v>6977.652694610779</v>
      </c>
      <c r="G42" s="15">
        <f t="shared" si="16"/>
        <v>7082.6949152542375</v>
      </c>
      <c r="H42" s="15">
        <f t="shared" si="16"/>
        <v>7756.748427672956</v>
      </c>
      <c r="I42" s="15">
        <f t="shared" si="16"/>
        <v>7512.669322709164</v>
      </c>
      <c r="J42" s="15">
        <f t="shared" si="19"/>
        <v>6952.819672131148</v>
      </c>
      <c r="K42" s="15">
        <f t="shared" si="19"/>
        <v>638.7083333333334</v>
      </c>
      <c r="L42" s="15">
        <f t="shared" si="19"/>
        <v>6301.813725490196</v>
      </c>
      <c r="M42" s="15">
        <f t="shared" si="19"/>
        <v>5819.253333333333</v>
      </c>
      <c r="N42" s="15">
        <f t="shared" si="17"/>
        <v>6460.1092</v>
      </c>
      <c r="P42" s="4" t="s">
        <v>77</v>
      </c>
      <c r="Q42" s="15">
        <f aca="true" t="shared" si="21" ref="Q42:AC42">Q25/Q8</f>
        <v>3066.2054054054056</v>
      </c>
      <c r="R42" s="15">
        <f t="shared" si="21"/>
        <v>3141.1612903225805</v>
      </c>
      <c r="S42" s="15">
        <f t="shared" si="21"/>
        <v>3243.748502994012</v>
      </c>
      <c r="T42" s="15">
        <f t="shared" si="21"/>
        <v>3265.2190476190476</v>
      </c>
      <c r="U42" s="15">
        <f t="shared" si="21"/>
        <v>3397.1746031746034</v>
      </c>
      <c r="V42" s="15">
        <f t="shared" si="21"/>
        <v>3520.902912621359</v>
      </c>
      <c r="W42" s="15">
        <f t="shared" si="21"/>
        <v>3514.7702702702704</v>
      </c>
      <c r="X42" s="15">
        <f t="shared" si="21"/>
        <v>3237.8471615720523</v>
      </c>
      <c r="Y42" s="15">
        <f t="shared" si="21"/>
        <v>3221.6692913385828</v>
      </c>
      <c r="Z42" s="15">
        <f t="shared" si="21"/>
        <v>3211.125</v>
      </c>
      <c r="AA42" s="15">
        <f t="shared" si="21"/>
        <v>3128.2918660287082</v>
      </c>
      <c r="AB42" s="15">
        <f t="shared" si="21"/>
        <v>3081.372807017544</v>
      </c>
      <c r="AC42" s="15">
        <f t="shared" si="21"/>
        <v>3250.769915883226</v>
      </c>
      <c r="AE42" s="4" t="s">
        <v>77</v>
      </c>
      <c r="AF42" s="38">
        <f t="shared" si="12"/>
        <v>3607.5564356435643</v>
      </c>
      <c r="AG42" s="38">
        <f t="shared" si="14"/>
        <v>3799.4141630901286</v>
      </c>
      <c r="AH42" s="38">
        <f t="shared" si="14"/>
        <v>3826.661246612466</v>
      </c>
      <c r="AI42" s="38">
        <f t="shared" si="14"/>
        <v>3364.8205128205127</v>
      </c>
      <c r="AJ42" s="38">
        <f t="shared" si="14"/>
        <v>3703.040650406504</v>
      </c>
      <c r="AK42" s="38">
        <f t="shared" si="14"/>
        <v>3493.0944976076553</v>
      </c>
      <c r="AL42" s="38">
        <f t="shared" si="14"/>
        <v>3417.891061452514</v>
      </c>
      <c r="AM42" s="38">
        <f t="shared" si="14"/>
        <v>3578.52416918429</v>
      </c>
      <c r="AN42" s="38">
        <f t="shared" si="14"/>
        <v>3518.0051612903226</v>
      </c>
      <c r="AO42" s="38">
        <f t="shared" si="14"/>
        <v>3548.5671476137627</v>
      </c>
      <c r="AP42" s="38">
        <f t="shared" si="14"/>
        <v>3210.4345945945947</v>
      </c>
      <c r="AQ42" s="38">
        <f t="shared" si="14"/>
        <v>3158.839152119701</v>
      </c>
      <c r="AR42" s="38">
        <f t="shared" si="15"/>
        <v>3485.4361091170135</v>
      </c>
    </row>
    <row r="43" spans="1:44" ht="12.75">
      <c r="A43" s="4" t="s">
        <v>14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P43" s="4" t="s">
        <v>14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E43" s="4" t="s">
        <v>14</v>
      </c>
      <c r="AF43" s="38">
        <f t="shared" si="12"/>
        <v>3353.0158358826707</v>
      </c>
      <c r="AG43" s="38">
        <f t="shared" si="14"/>
        <v>3041.0018066847333</v>
      </c>
      <c r="AH43" s="38">
        <f t="shared" si="14"/>
        <v>3358.0321363699873</v>
      </c>
      <c r="AI43" s="38">
        <f t="shared" si="14"/>
        <v>3507.3489053948397</v>
      </c>
      <c r="AJ43" s="38">
        <f t="shared" si="14"/>
        <v>4498.051699716714</v>
      </c>
      <c r="AK43" s="38">
        <f t="shared" si="14"/>
        <v>3835.0375399361023</v>
      </c>
      <c r="AL43" s="38">
        <f t="shared" si="14"/>
        <v>6195.210580912863</v>
      </c>
      <c r="AM43" s="38">
        <f t="shared" si="14"/>
        <v>4935.902121324898</v>
      </c>
      <c r="AN43" s="38">
        <f t="shared" si="14"/>
        <v>4888.855617977528</v>
      </c>
      <c r="AO43" s="38">
        <f t="shared" si="14"/>
        <v>4784.400858544563</v>
      </c>
      <c r="AP43" s="38">
        <f t="shared" si="14"/>
        <v>4534.284596759173</v>
      </c>
      <c r="AQ43" s="38">
        <f t="shared" si="14"/>
        <v>4672.435202205882</v>
      </c>
      <c r="AR43" s="38">
        <f t="shared" si="15"/>
        <v>4073.366803939802</v>
      </c>
    </row>
    <row r="44" spans="1:44" ht="12.75">
      <c r="A44" s="4" t="s">
        <v>16</v>
      </c>
      <c r="B44" s="15">
        <f>B27/B10</f>
        <v>3250.679442508711</v>
      </c>
      <c r="C44" s="15">
        <f t="shared" si="16"/>
        <v>3060.1828018223237</v>
      </c>
      <c r="D44" s="15">
        <f t="shared" si="16"/>
        <v>2814.33422281521</v>
      </c>
      <c r="E44" s="15">
        <f t="shared" si="16"/>
        <v>2898.570133333333</v>
      </c>
      <c r="F44" s="15">
        <f t="shared" si="16"/>
        <v>3234.231152993348</v>
      </c>
      <c r="G44" s="15">
        <f t="shared" si="16"/>
        <v>2969.0383734249713</v>
      </c>
      <c r="H44" s="15">
        <f t="shared" si="16"/>
        <v>3105.771824202288</v>
      </c>
      <c r="I44" s="15">
        <f t="shared" si="16"/>
        <v>3340.0447598253277</v>
      </c>
      <c r="J44" s="15">
        <f>J27/J10</f>
        <v>3334.2375</v>
      </c>
      <c r="K44" s="15">
        <f>K27/K10</f>
        <v>3581.3223140495866</v>
      </c>
      <c r="L44" s="15">
        <f>L27/L10</f>
        <v>3115.091225626741</v>
      </c>
      <c r="M44" s="15">
        <f>M27/M10</f>
        <v>3292.370034052213</v>
      </c>
      <c r="N44" s="15">
        <f t="shared" si="17"/>
        <v>3160.1850044598355</v>
      </c>
      <c r="P44" s="4" t="s">
        <v>16</v>
      </c>
      <c r="Q44" s="15">
        <f>Q27/Q10</f>
        <v>2361.47321367638</v>
      </c>
      <c r="R44" s="15">
        <f aca="true" t="shared" si="22" ref="R44:AC44">R27/R10</f>
        <v>2339.4262172284643</v>
      </c>
      <c r="S44" s="15">
        <f t="shared" si="22"/>
        <v>2254.8992221846465</v>
      </c>
      <c r="T44" s="15">
        <f t="shared" si="22"/>
        <v>2340.604979446211</v>
      </c>
      <c r="U44" s="15">
        <f t="shared" si="22"/>
        <v>2410.0772882262486</v>
      </c>
      <c r="V44" s="15">
        <f t="shared" si="22"/>
        <v>2430.49168297456</v>
      </c>
      <c r="W44" s="15">
        <f t="shared" si="22"/>
        <v>2480.3916916416915</v>
      </c>
      <c r="X44" s="15">
        <f t="shared" si="22"/>
        <v>2527.568026924695</v>
      </c>
      <c r="Y44" s="15">
        <f t="shared" si="22"/>
        <v>2577.7389803766887</v>
      </c>
      <c r="Z44" s="15">
        <f t="shared" si="22"/>
        <v>2585.8648826136923</v>
      </c>
      <c r="AA44" s="15">
        <f t="shared" si="22"/>
        <v>2472.1019736842104</v>
      </c>
      <c r="AB44" s="15">
        <f t="shared" si="22"/>
        <v>2485.1697743654026</v>
      </c>
      <c r="AC44" s="15">
        <f t="shared" si="22"/>
        <v>2433.425984669964</v>
      </c>
      <c r="AE44" s="4" t="s">
        <v>16</v>
      </c>
      <c r="AF44" s="38">
        <f t="shared" si="12"/>
        <v>2505.1024734982334</v>
      </c>
      <c r="AG44" s="38">
        <f t="shared" si="14"/>
        <v>2638.7384105960264</v>
      </c>
      <c r="AH44" s="38">
        <f t="shared" si="14"/>
        <v>2409.686440677966</v>
      </c>
      <c r="AI44" s="38">
        <f t="shared" si="14"/>
        <v>2394.808383233533</v>
      </c>
      <c r="AJ44" s="38">
        <f t="shared" si="14"/>
        <v>2534.39605734767</v>
      </c>
      <c r="AK44" s="38">
        <f t="shared" si="14"/>
        <v>2581.3578181818184</v>
      </c>
      <c r="AL44" s="38">
        <f t="shared" si="14"/>
        <v>2591.2934330839566</v>
      </c>
      <c r="AM44" s="38">
        <f t="shared" si="14"/>
        <v>2728.813155386082</v>
      </c>
      <c r="AN44" s="38">
        <f t="shared" si="14"/>
        <v>2925.4088235294116</v>
      </c>
      <c r="AO44" s="38">
        <f t="shared" si="14"/>
        <v>2879.0288350634373</v>
      </c>
      <c r="AP44" s="38">
        <f t="shared" si="14"/>
        <v>2864.6964809384162</v>
      </c>
      <c r="AQ44" s="38">
        <f t="shared" si="14"/>
        <v>2711.5592592592593</v>
      </c>
      <c r="AR44" s="38">
        <f t="shared" si="15"/>
        <v>2670.5406278855035</v>
      </c>
    </row>
    <row r="45" spans="1:44" ht="12.75">
      <c r="A45" s="4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P45" s="4" t="s">
        <v>17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>
        <f>AB28/AB11</f>
        <v>5008.761904761905</v>
      </c>
      <c r="AC45" s="15">
        <f>AC28/AC11</f>
        <v>5008.761904761905</v>
      </c>
      <c r="AE45" s="4" t="s">
        <v>17</v>
      </c>
      <c r="AF45" s="38">
        <f t="shared" si="12"/>
        <v>3187.3805640502887</v>
      </c>
      <c r="AG45" s="38">
        <f t="shared" si="14"/>
        <v>2927.1616915422887</v>
      </c>
      <c r="AH45" s="38">
        <f t="shared" si="14"/>
        <v>3124.8842305859935</v>
      </c>
      <c r="AI45" s="38">
        <f t="shared" si="14"/>
        <v>3345.2677127912507</v>
      </c>
      <c r="AJ45" s="38">
        <f t="shared" si="14"/>
        <v>3715.3583154889366</v>
      </c>
      <c r="AK45" s="38">
        <f t="shared" si="14"/>
        <v>3651.4138785625773</v>
      </c>
      <c r="AL45" s="38">
        <f t="shared" si="14"/>
        <v>3722.7406015037595</v>
      </c>
      <c r="AM45" s="38">
        <f t="shared" si="14"/>
        <v>3840.1133853151396</v>
      </c>
      <c r="AN45" s="38">
        <f t="shared" si="14"/>
        <v>3929.775853018373</v>
      </c>
      <c r="AO45" s="38">
        <f t="shared" si="14"/>
        <v>3924.6370530877575</v>
      </c>
      <c r="AP45" s="38">
        <f t="shared" si="14"/>
        <v>3939.2481400437637</v>
      </c>
      <c r="AQ45" s="38">
        <f t="shared" si="14"/>
        <v>3930.0578186596586</v>
      </c>
      <c r="AR45" s="38">
        <f t="shared" si="15"/>
        <v>3586.474735340491</v>
      </c>
    </row>
    <row r="46" spans="1:44" ht="12.75">
      <c r="A46" s="4" t="s">
        <v>18</v>
      </c>
      <c r="B46" s="15">
        <f aca="true" t="shared" si="23" ref="B46:M46">B29/B12</f>
        <v>5928.170114942529</v>
      </c>
      <c r="C46" s="15">
        <f t="shared" si="23"/>
        <v>5445.408396946565</v>
      </c>
      <c r="D46" s="15">
        <f t="shared" si="23"/>
        <v>7622.753393665158</v>
      </c>
      <c r="E46" s="15">
        <f t="shared" si="23"/>
        <v>7431.805541035023</v>
      </c>
      <c r="F46" s="15">
        <f t="shared" si="23"/>
        <v>6815.9468845760985</v>
      </c>
      <c r="G46" s="15">
        <f t="shared" si="23"/>
        <v>6881.608695652174</v>
      </c>
      <c r="H46" s="15">
        <f t="shared" si="23"/>
        <v>6277.553649956025</v>
      </c>
      <c r="I46" s="15">
        <f t="shared" si="23"/>
        <v>6141.790382244143</v>
      </c>
      <c r="J46" s="15">
        <f t="shared" si="23"/>
        <v>6969.071797278273</v>
      </c>
      <c r="K46" s="15">
        <f t="shared" si="23"/>
        <v>6081.918860827512</v>
      </c>
      <c r="L46" s="15">
        <f t="shared" si="23"/>
        <v>6241.899766899767</v>
      </c>
      <c r="M46" s="15">
        <f t="shared" si="23"/>
        <v>6470.524641577061</v>
      </c>
      <c r="N46" s="15">
        <f t="shared" si="17"/>
        <v>6621.114858970631</v>
      </c>
      <c r="P46" s="4" t="s">
        <v>18</v>
      </c>
      <c r="Q46" s="15">
        <f aca="true" t="shared" si="24" ref="Q46:AC46">Q29/Q12</f>
        <v>3149.7349665924276</v>
      </c>
      <c r="R46" s="15">
        <f t="shared" si="24"/>
        <v>2980.689674843126</v>
      </c>
      <c r="S46" s="15">
        <f t="shared" si="24"/>
        <v>2905.47391854525</v>
      </c>
      <c r="T46" s="15">
        <f t="shared" si="24"/>
        <v>2865.7139666118032</v>
      </c>
      <c r="U46" s="15">
        <f t="shared" si="24"/>
        <v>2907.644000524831</v>
      </c>
      <c r="V46" s="15">
        <f t="shared" si="24"/>
        <v>2952.1466012446144</v>
      </c>
      <c r="W46" s="15">
        <f t="shared" si="24"/>
        <v>2973.9469124581037</v>
      </c>
      <c r="X46" s="15">
        <f t="shared" si="24"/>
        <v>2990.8993643726003</v>
      </c>
      <c r="Y46" s="15">
        <f t="shared" si="24"/>
        <v>3010.031072968631</v>
      </c>
      <c r="Z46" s="15">
        <f t="shared" si="24"/>
        <v>3034.7844377741862</v>
      </c>
      <c r="AA46" s="15">
        <f t="shared" si="24"/>
        <v>3017.7381483981517</v>
      </c>
      <c r="AB46" s="15">
        <f t="shared" si="24"/>
        <v>3029.8694098160577</v>
      </c>
      <c r="AC46" s="15">
        <f t="shared" si="24"/>
        <v>2969.551111159042</v>
      </c>
      <c r="AE46" s="4" t="s">
        <v>18</v>
      </c>
      <c r="AF46" s="38">
        <f t="shared" si="12"/>
        <v>5240.911392405063</v>
      </c>
      <c r="AG46" s="38">
        <f t="shared" si="14"/>
        <v>4582.555555555556</v>
      </c>
      <c r="AH46" s="38">
        <f t="shared" si="14"/>
        <v>5015.825</v>
      </c>
      <c r="AI46" s="38">
        <f t="shared" si="14"/>
        <v>5277.6551724137935</v>
      </c>
      <c r="AJ46" s="38">
        <f t="shared" si="14"/>
        <v>3785.469387755102</v>
      </c>
      <c r="AK46" s="38">
        <f t="shared" si="14"/>
        <v>4500.011235955056</v>
      </c>
      <c r="AL46" s="38">
        <f t="shared" si="14"/>
        <v>6265.178082191781</v>
      </c>
      <c r="AM46" s="38">
        <f t="shared" si="14"/>
        <v>5861.422535211268</v>
      </c>
      <c r="AN46" s="38">
        <f t="shared" si="14"/>
        <v>5559.391304347826</v>
      </c>
      <c r="AO46" s="38">
        <f t="shared" si="14"/>
        <v>3513.938271604938</v>
      </c>
      <c r="AP46" s="38">
        <f t="shared" si="14"/>
        <v>4925.963855421687</v>
      </c>
      <c r="AQ46" s="38">
        <f t="shared" si="14"/>
        <v>4819.963855421687</v>
      </c>
      <c r="AR46" s="38">
        <f t="shared" si="15"/>
        <v>4974.162977867203</v>
      </c>
    </row>
    <row r="47" spans="1:44" ht="12.75">
      <c r="A47" s="4" t="s">
        <v>19</v>
      </c>
      <c r="B47" s="15">
        <f aca="true" t="shared" si="25" ref="B47:M47">B30/B13</f>
        <v>5105.668316831683</v>
      </c>
      <c r="C47" s="15">
        <f t="shared" si="25"/>
        <v>5395.421383647798</v>
      </c>
      <c r="D47" s="15">
        <f t="shared" si="25"/>
        <v>5613.818853974122</v>
      </c>
      <c r="E47" s="15">
        <f t="shared" si="25"/>
        <v>5316.121387283237</v>
      </c>
      <c r="F47" s="15">
        <f t="shared" si="25"/>
        <v>5710.285714285715</v>
      </c>
      <c r="G47" s="15">
        <f t="shared" si="25"/>
        <v>5616.090729783037</v>
      </c>
      <c r="H47" s="15">
        <f t="shared" si="25"/>
        <v>5368.428802588996</v>
      </c>
      <c r="I47" s="15">
        <f t="shared" si="25"/>
        <v>5429.201863354037</v>
      </c>
      <c r="J47" s="15">
        <f t="shared" si="25"/>
        <v>6048.276422764227</v>
      </c>
      <c r="K47" s="15">
        <f t="shared" si="25"/>
        <v>5777.191176470588</v>
      </c>
      <c r="L47" s="15">
        <f t="shared" si="25"/>
        <v>5362.961352657005</v>
      </c>
      <c r="M47" s="15">
        <f t="shared" si="25"/>
        <v>6478.627811860941</v>
      </c>
      <c r="N47" s="15">
        <f t="shared" si="17"/>
        <v>5553.789228588783</v>
      </c>
      <c r="P47" s="4" t="s">
        <v>19</v>
      </c>
      <c r="Q47" s="15">
        <f aca="true" t="shared" si="26" ref="Q47:AC47">Q30/Q13</f>
        <v>3112.398757378068</v>
      </c>
      <c r="R47" s="38">
        <f t="shared" si="26"/>
        <v>3027.1772817179994</v>
      </c>
      <c r="S47" s="15">
        <f t="shared" si="26"/>
        <v>2963.302875880711</v>
      </c>
      <c r="T47" s="15">
        <f t="shared" si="26"/>
        <v>3062.135821197411</v>
      </c>
      <c r="U47" s="15">
        <f t="shared" si="26"/>
        <v>3075.345185906803</v>
      </c>
      <c r="V47" s="15">
        <f t="shared" si="26"/>
        <v>3157.1980981920583</v>
      </c>
      <c r="W47" s="15">
        <f t="shared" si="26"/>
        <v>3231.468884120172</v>
      </c>
      <c r="X47" s="15">
        <f t="shared" si="26"/>
        <v>3186.4112647554807</v>
      </c>
      <c r="Y47" s="15">
        <f t="shared" si="26"/>
        <v>3577.0095503967086</v>
      </c>
      <c r="Z47" s="15">
        <f t="shared" si="26"/>
        <v>3457.9089131684877</v>
      </c>
      <c r="AA47" s="15">
        <f t="shared" si="26"/>
        <v>3287.5947835439633</v>
      </c>
      <c r="AB47" s="15">
        <f t="shared" si="26"/>
        <v>3164.054628140425</v>
      </c>
      <c r="AC47" s="15">
        <f t="shared" si="26"/>
        <v>3144.3433255804293</v>
      </c>
      <c r="AE47" s="4" t="s">
        <v>19</v>
      </c>
      <c r="AF47" s="38">
        <f aca="true" t="shared" si="27" ref="AF47:AQ47">AF30/AF13</f>
        <v>3821.3655913978496</v>
      </c>
      <c r="AG47" s="38">
        <f t="shared" si="27"/>
        <v>4289.92</v>
      </c>
      <c r="AH47" s="38">
        <f t="shared" si="27"/>
        <v>2906.975903614458</v>
      </c>
      <c r="AI47" s="38">
        <f t="shared" si="27"/>
        <v>3958.842105263158</v>
      </c>
      <c r="AJ47" s="38">
        <f t="shared" si="27"/>
        <v>4079.516666666667</v>
      </c>
      <c r="AK47" s="38">
        <f t="shared" si="27"/>
        <v>5151.691176470588</v>
      </c>
      <c r="AL47" s="38">
        <f t="shared" si="27"/>
        <v>4820.621621621622</v>
      </c>
      <c r="AM47" s="38">
        <f t="shared" si="27"/>
        <v>3699.397435897436</v>
      </c>
      <c r="AN47" s="38">
        <f t="shared" si="27"/>
        <v>3675.264705882353</v>
      </c>
      <c r="AO47" s="38">
        <f t="shared" si="27"/>
        <v>5321.422222222222</v>
      </c>
      <c r="AP47" s="38">
        <f t="shared" si="27"/>
        <v>4461.680327868852</v>
      </c>
      <c r="AQ47" s="38">
        <f t="shared" si="27"/>
        <v>4511.239669421488</v>
      </c>
      <c r="AR47" s="38">
        <f t="shared" si="15"/>
        <v>4221.0010570824525</v>
      </c>
    </row>
    <row r="48" spans="1:44" ht="12.75">
      <c r="A48" s="4" t="s">
        <v>49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P48" s="4" t="s">
        <v>49</v>
      </c>
      <c r="Q48" s="15"/>
      <c r="R48" s="38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E48" s="4" t="s">
        <v>49</v>
      </c>
      <c r="AF48" s="38">
        <f aca="true" t="shared" si="28" ref="AF48:AQ49">AF31/AF14</f>
        <v>3254.8629441624366</v>
      </c>
      <c r="AG48" s="38">
        <f t="shared" si="28"/>
        <v>6480.625</v>
      </c>
      <c r="AH48" s="38">
        <f t="shared" si="28"/>
        <v>6560.420560747663</v>
      </c>
      <c r="AI48" s="38">
        <f t="shared" si="28"/>
        <v>4356.156862745098</v>
      </c>
      <c r="AJ48" s="38">
        <f t="shared" si="28"/>
        <v>6083.285714285715</v>
      </c>
      <c r="AK48" s="38">
        <f t="shared" si="28"/>
        <v>6484.71186440678</v>
      </c>
      <c r="AL48" s="38">
        <f t="shared" si="28"/>
        <v>4336.407407407408</v>
      </c>
      <c r="AM48" s="38">
        <f t="shared" si="28"/>
        <v>4850.0901639344265</v>
      </c>
      <c r="AN48" s="38">
        <f t="shared" si="28"/>
        <v>4814.322033898305</v>
      </c>
      <c r="AO48" s="38">
        <f t="shared" si="28"/>
        <v>4718.698795180723</v>
      </c>
      <c r="AP48" s="38">
        <f t="shared" si="28"/>
        <v>6331.233333333334</v>
      </c>
      <c r="AQ48" s="38">
        <f t="shared" si="28"/>
        <v>7030.550387596899</v>
      </c>
      <c r="AR48" s="38">
        <f t="shared" si="15"/>
        <v>5318.309787234042</v>
      </c>
    </row>
    <row r="49" spans="1:44" ht="12.75">
      <c r="A49" s="1" t="s">
        <v>20</v>
      </c>
      <c r="B49" s="17">
        <f>B32/B15</f>
        <v>3660.204104654125</v>
      </c>
      <c r="C49" s="17">
        <f aca="true" t="shared" si="29" ref="C49:I49">C32/C15</f>
        <v>3762.5417188226456</v>
      </c>
      <c r="D49" s="17">
        <f t="shared" si="29"/>
        <v>3829.0375848556764</v>
      </c>
      <c r="E49" s="17">
        <f t="shared" si="29"/>
        <v>3858.443716617958</v>
      </c>
      <c r="F49" s="17">
        <f t="shared" si="29"/>
        <v>3663.635132112053</v>
      </c>
      <c r="G49" s="17">
        <f t="shared" si="29"/>
        <v>3617.620577815478</v>
      </c>
      <c r="H49" s="17">
        <f t="shared" si="29"/>
        <v>3521.8000601232525</v>
      </c>
      <c r="I49" s="17">
        <f t="shared" si="29"/>
        <v>3347.0424546857507</v>
      </c>
      <c r="J49" s="10">
        <f>SUM(J38:J48)</f>
        <v>29978.39367380389</v>
      </c>
      <c r="K49" s="10">
        <f>SUM(K38:K48)</f>
        <v>22701.228765139043</v>
      </c>
      <c r="L49" s="10">
        <f>SUM(L38:L48)</f>
        <v>27890.653106408485</v>
      </c>
      <c r="M49" s="10">
        <f>SUM(M38:M48)</f>
        <v>28996.93971622906</v>
      </c>
      <c r="N49" s="17">
        <f t="shared" si="17"/>
        <v>3651.3835253302036</v>
      </c>
      <c r="P49" s="1" t="s">
        <v>20</v>
      </c>
      <c r="Q49" s="17">
        <f aca="true" t="shared" si="30" ref="Q49:W49">SUM(Q38:Q48)</f>
        <v>16110.398267955585</v>
      </c>
      <c r="R49" s="17">
        <f t="shared" si="30"/>
        <v>15879.622672958498</v>
      </c>
      <c r="S49" s="17">
        <f t="shared" si="30"/>
        <v>15859.806165064003</v>
      </c>
      <c r="T49" s="17">
        <f t="shared" si="30"/>
        <v>16103.250534070286</v>
      </c>
      <c r="U49" s="17">
        <f t="shared" si="30"/>
        <v>16636.785726206628</v>
      </c>
      <c r="V49" s="17">
        <f t="shared" si="30"/>
        <v>16939.23104079375</v>
      </c>
      <c r="W49" s="17">
        <f t="shared" si="30"/>
        <v>17020.650768504627</v>
      </c>
      <c r="X49" s="17">
        <f aca="true" t="shared" si="31" ref="X49:AC49">X32/X15</f>
        <v>2910.5240037400054</v>
      </c>
      <c r="Y49" s="17">
        <f t="shared" si="31"/>
        <v>2966.397646895659</v>
      </c>
      <c r="Z49" s="17">
        <f t="shared" si="31"/>
        <v>2972.344133757399</v>
      </c>
      <c r="AA49" s="17">
        <f t="shared" si="31"/>
        <v>2874.087773336468</v>
      </c>
      <c r="AB49" s="17">
        <f t="shared" si="31"/>
        <v>2920.6943233725024</v>
      </c>
      <c r="AC49" s="17">
        <f t="shared" si="31"/>
        <v>2861.310223920913</v>
      </c>
      <c r="AE49" s="1" t="s">
        <v>20</v>
      </c>
      <c r="AF49" s="40">
        <f>AF32/AF15</f>
        <v>3437.0670042311162</v>
      </c>
      <c r="AG49" s="40">
        <f t="shared" si="28"/>
        <v>3262.1994854832783</v>
      </c>
      <c r="AH49" s="40">
        <f t="shared" si="28"/>
        <v>3358.187535482243</v>
      </c>
      <c r="AI49" s="40">
        <f t="shared" si="28"/>
        <v>3511.853485178903</v>
      </c>
      <c r="AJ49" s="40">
        <f t="shared" si="28"/>
        <v>3867.7935536515706</v>
      </c>
      <c r="AK49" s="40">
        <f t="shared" si="28"/>
        <v>3423.2249014972417</v>
      </c>
      <c r="AL49" s="40">
        <f t="shared" si="28"/>
        <v>3527.891894793344</v>
      </c>
      <c r="AM49" s="40">
        <f t="shared" si="28"/>
        <v>3774.5330925649682</v>
      </c>
      <c r="AN49" s="40">
        <f t="shared" si="28"/>
        <v>3900.9796574736674</v>
      </c>
      <c r="AO49" s="40">
        <f t="shared" si="28"/>
        <v>4089.576976711756</v>
      </c>
      <c r="AP49" s="40">
        <f t="shared" si="28"/>
        <v>3951.20096606076</v>
      </c>
      <c r="AQ49" s="40">
        <f t="shared" si="28"/>
        <v>4127.226761547748</v>
      </c>
      <c r="AR49" s="40">
        <f t="shared" si="15"/>
        <v>3692.1231279942663</v>
      </c>
    </row>
    <row r="50" spans="1:31" ht="12.75">
      <c r="A50" s="5" t="s">
        <v>24</v>
      </c>
      <c r="P50" s="5" t="s">
        <v>24</v>
      </c>
      <c r="AE50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89</v>
      </c>
      <c r="P1" t="s">
        <v>90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49" t="s">
        <v>25</v>
      </c>
    </row>
    <row r="4" spans="1:29" ht="12.75">
      <c r="A4" s="4" t="s">
        <v>76</v>
      </c>
      <c r="B4" s="20"/>
      <c r="C4" s="20"/>
      <c r="D4" s="20"/>
      <c r="E4" s="20"/>
      <c r="F4" s="20"/>
      <c r="G4" s="20"/>
      <c r="H4" s="20"/>
      <c r="I4" s="20"/>
      <c r="J4" s="20"/>
      <c r="K4" s="8"/>
      <c r="L4" s="8"/>
      <c r="M4" s="8"/>
      <c r="N4" s="8"/>
      <c r="P4" s="4" t="s">
        <v>76</v>
      </c>
      <c r="Q4" s="22"/>
      <c r="R4" s="22"/>
      <c r="S4" s="22"/>
      <c r="T4" s="22"/>
      <c r="U4" s="22"/>
      <c r="V4" s="22"/>
      <c r="W4" s="22"/>
      <c r="X4" s="22"/>
      <c r="Y4" s="22"/>
      <c r="Z4" s="8"/>
      <c r="AA4" s="8"/>
      <c r="AB4" s="47"/>
      <c r="AC4" s="7"/>
    </row>
    <row r="5" spans="1:29" ht="12.75">
      <c r="A5" s="4" t="s">
        <v>92</v>
      </c>
      <c r="B5" s="22"/>
      <c r="C5" s="22"/>
      <c r="D5" s="22"/>
      <c r="E5" s="22"/>
      <c r="F5" s="8"/>
      <c r="G5" s="8"/>
      <c r="H5" s="22"/>
      <c r="I5" s="22"/>
      <c r="J5" s="20"/>
      <c r="K5" s="8"/>
      <c r="L5" s="8"/>
      <c r="M5" s="8"/>
      <c r="N5" s="8"/>
      <c r="P5" s="4" t="s">
        <v>92</v>
      </c>
      <c r="Q5" s="20"/>
      <c r="R5" s="20"/>
      <c r="S5" s="20"/>
      <c r="T5" s="20"/>
      <c r="U5" s="8">
        <v>46</v>
      </c>
      <c r="V5" s="8"/>
      <c r="W5" s="8"/>
      <c r="X5" s="8"/>
      <c r="Y5" s="20"/>
      <c r="Z5" s="8"/>
      <c r="AA5" s="8"/>
      <c r="AB5" s="47"/>
      <c r="AC5" s="8">
        <f aca="true" t="shared" si="0" ref="AC5:AC10">SUM(Q5:AB5)</f>
        <v>46</v>
      </c>
    </row>
    <row r="6" spans="1:30" ht="12.75">
      <c r="A6" s="4" t="s">
        <v>11</v>
      </c>
      <c r="B6" s="8">
        <v>9358</v>
      </c>
      <c r="C6" s="8">
        <v>8527</v>
      </c>
      <c r="D6" s="8">
        <v>8289</v>
      </c>
      <c r="E6" s="8">
        <v>10174</v>
      </c>
      <c r="F6" s="8">
        <v>13436</v>
      </c>
      <c r="G6" s="8">
        <v>13949</v>
      </c>
      <c r="H6" s="8">
        <v>10811</v>
      </c>
      <c r="I6" s="8">
        <v>10044</v>
      </c>
      <c r="J6" s="20">
        <v>8778</v>
      </c>
      <c r="K6" s="8">
        <v>10732</v>
      </c>
      <c r="L6" s="8">
        <v>19867</v>
      </c>
      <c r="M6" s="8">
        <v>14363</v>
      </c>
      <c r="N6" s="8">
        <f>SUM(B6:M6)</f>
        <v>138328</v>
      </c>
      <c r="P6" s="4" t="s">
        <v>11</v>
      </c>
      <c r="Q6" s="8">
        <v>539</v>
      </c>
      <c r="R6" s="8">
        <v>1055</v>
      </c>
      <c r="S6" s="8">
        <v>685</v>
      </c>
      <c r="T6" s="8">
        <v>496</v>
      </c>
      <c r="U6" s="8">
        <v>884</v>
      </c>
      <c r="V6" s="8">
        <v>1417</v>
      </c>
      <c r="W6" s="8">
        <v>1814</v>
      </c>
      <c r="X6" s="8">
        <v>1640</v>
      </c>
      <c r="Y6" s="20">
        <v>577</v>
      </c>
      <c r="Z6" s="8">
        <v>377</v>
      </c>
      <c r="AA6" s="8">
        <v>546</v>
      </c>
      <c r="AB6" s="47">
        <v>468</v>
      </c>
      <c r="AC6" s="8">
        <f t="shared" si="0"/>
        <v>10498</v>
      </c>
      <c r="AD6" s="56"/>
    </row>
    <row r="7" spans="1:29" ht="12.75">
      <c r="A7" s="4" t="s">
        <v>12</v>
      </c>
      <c r="B7" s="8">
        <v>3557</v>
      </c>
      <c r="C7" s="8">
        <v>4292</v>
      </c>
      <c r="D7" s="8">
        <v>5189</v>
      </c>
      <c r="E7" s="8">
        <v>4775</v>
      </c>
      <c r="F7" s="8">
        <v>1543</v>
      </c>
      <c r="G7" s="8">
        <v>2618</v>
      </c>
      <c r="H7" s="8">
        <v>3505</v>
      </c>
      <c r="I7" s="8">
        <v>3487</v>
      </c>
      <c r="J7" s="8">
        <v>3240</v>
      </c>
      <c r="K7" s="8">
        <v>2157</v>
      </c>
      <c r="L7" s="8">
        <v>1877</v>
      </c>
      <c r="M7" s="8">
        <v>2879</v>
      </c>
      <c r="N7" s="8">
        <f>SUM(B7:M7)</f>
        <v>39119</v>
      </c>
      <c r="P7" s="4" t="s">
        <v>12</v>
      </c>
      <c r="Q7" s="8">
        <v>404</v>
      </c>
      <c r="R7" s="8">
        <v>324</v>
      </c>
      <c r="S7" s="8">
        <v>163</v>
      </c>
      <c r="T7" s="8">
        <v>129</v>
      </c>
      <c r="U7" s="8"/>
      <c r="V7" s="8">
        <v>7</v>
      </c>
      <c r="W7" s="8">
        <v>39</v>
      </c>
      <c r="X7" s="8">
        <v>36</v>
      </c>
      <c r="Y7" s="20">
        <v>65</v>
      </c>
      <c r="Z7" s="8">
        <v>37</v>
      </c>
      <c r="AA7" s="8">
        <v>37</v>
      </c>
      <c r="AB7" s="47">
        <v>19</v>
      </c>
      <c r="AC7" s="8">
        <f t="shared" si="0"/>
        <v>1260</v>
      </c>
    </row>
    <row r="8" spans="1:29" ht="12.75">
      <c r="A8" s="4" t="s">
        <v>18</v>
      </c>
      <c r="B8" s="8"/>
      <c r="C8" s="8"/>
      <c r="D8" s="8"/>
      <c r="E8" s="8"/>
      <c r="F8" s="8">
        <v>27</v>
      </c>
      <c r="G8" s="8"/>
      <c r="H8" s="8">
        <v>7.4</v>
      </c>
      <c r="I8" s="8">
        <v>7.3</v>
      </c>
      <c r="J8" s="8"/>
      <c r="K8" s="8"/>
      <c r="L8" s="8"/>
      <c r="M8" s="8"/>
      <c r="N8" s="8">
        <f>SUM(B8:M8)</f>
        <v>41.699999999999996</v>
      </c>
      <c r="P8" s="4" t="s">
        <v>18</v>
      </c>
      <c r="Q8" s="8">
        <v>16</v>
      </c>
      <c r="R8" s="8">
        <v>79</v>
      </c>
      <c r="S8" s="8">
        <v>324</v>
      </c>
      <c r="T8" s="8">
        <v>370</v>
      </c>
      <c r="U8" s="8">
        <v>369</v>
      </c>
      <c r="V8" s="8">
        <v>165</v>
      </c>
      <c r="W8" s="8">
        <v>281</v>
      </c>
      <c r="X8" s="8">
        <v>104</v>
      </c>
      <c r="Y8" s="8">
        <v>78</v>
      </c>
      <c r="Z8" s="8">
        <v>211</v>
      </c>
      <c r="AA8" s="8">
        <v>309</v>
      </c>
      <c r="AB8" s="47">
        <v>196</v>
      </c>
      <c r="AC8" s="8">
        <f t="shared" si="0"/>
        <v>2502</v>
      </c>
    </row>
    <row r="9" spans="1:29" ht="12.75">
      <c r="A9" s="4" t="s">
        <v>19</v>
      </c>
      <c r="B9" s="8"/>
      <c r="C9" s="25"/>
      <c r="D9" s="8"/>
      <c r="E9" s="8">
        <v>15</v>
      </c>
      <c r="F9" s="8"/>
      <c r="G9" s="8"/>
      <c r="H9" s="8"/>
      <c r="I9" s="8">
        <v>29</v>
      </c>
      <c r="J9" s="8"/>
      <c r="K9" s="8">
        <v>15</v>
      </c>
      <c r="L9" s="8"/>
      <c r="M9" s="8"/>
      <c r="N9" s="8">
        <f>SUM(B9:M9)</f>
        <v>59</v>
      </c>
      <c r="P9" s="4" t="s">
        <v>19</v>
      </c>
      <c r="Q9" s="8">
        <v>330</v>
      </c>
      <c r="R9" s="25">
        <v>1113</v>
      </c>
      <c r="S9" s="8">
        <v>1188</v>
      </c>
      <c r="T9" s="8">
        <v>900</v>
      </c>
      <c r="U9" s="8">
        <v>971</v>
      </c>
      <c r="V9" s="8">
        <v>741</v>
      </c>
      <c r="W9" s="8">
        <v>389</v>
      </c>
      <c r="X9" s="8">
        <v>161</v>
      </c>
      <c r="Y9" s="8">
        <v>125</v>
      </c>
      <c r="Z9" s="8">
        <v>98</v>
      </c>
      <c r="AA9" s="8">
        <v>160</v>
      </c>
      <c r="AB9" s="47">
        <v>514</v>
      </c>
      <c r="AC9" s="8">
        <f t="shared" si="0"/>
        <v>6690</v>
      </c>
    </row>
    <row r="10" spans="1:29" ht="12.75">
      <c r="A10" s="1" t="s">
        <v>20</v>
      </c>
      <c r="B10" s="10">
        <f aca="true" t="shared" si="1" ref="B10:M10">SUM(B4:B9)</f>
        <v>12915</v>
      </c>
      <c r="C10" s="10">
        <f t="shared" si="1"/>
        <v>12819</v>
      </c>
      <c r="D10" s="10">
        <f t="shared" si="1"/>
        <v>13478</v>
      </c>
      <c r="E10" s="10">
        <f t="shared" si="1"/>
        <v>14964</v>
      </c>
      <c r="F10" s="10">
        <f t="shared" si="1"/>
        <v>15006</v>
      </c>
      <c r="G10" s="10">
        <f t="shared" si="1"/>
        <v>16567</v>
      </c>
      <c r="H10" s="10">
        <f t="shared" si="1"/>
        <v>14323.4</v>
      </c>
      <c r="I10" s="10">
        <f t="shared" si="1"/>
        <v>13567.3</v>
      </c>
      <c r="J10" s="10">
        <f t="shared" si="1"/>
        <v>12018</v>
      </c>
      <c r="K10" s="10">
        <f t="shared" si="1"/>
        <v>12904</v>
      </c>
      <c r="L10" s="10">
        <f t="shared" si="1"/>
        <v>21744</v>
      </c>
      <c r="M10" s="10">
        <f t="shared" si="1"/>
        <v>17242</v>
      </c>
      <c r="N10" s="10">
        <f>SUM(B10:M10)</f>
        <v>177547.7</v>
      </c>
      <c r="P10" s="1" t="s">
        <v>20</v>
      </c>
      <c r="Q10" s="10">
        <f aca="true" t="shared" si="2" ref="Q10:AB10">SUM(Q4:Q9)</f>
        <v>1289</v>
      </c>
      <c r="R10" s="10">
        <f t="shared" si="2"/>
        <v>2571</v>
      </c>
      <c r="S10" s="10">
        <f t="shared" si="2"/>
        <v>2360</v>
      </c>
      <c r="T10" s="10">
        <f t="shared" si="2"/>
        <v>1895</v>
      </c>
      <c r="U10" s="10">
        <f t="shared" si="2"/>
        <v>2270</v>
      </c>
      <c r="V10" s="10">
        <f t="shared" si="2"/>
        <v>2330</v>
      </c>
      <c r="W10" s="10">
        <f t="shared" si="2"/>
        <v>2523</v>
      </c>
      <c r="X10" s="10">
        <f t="shared" si="2"/>
        <v>1941</v>
      </c>
      <c r="Y10" s="10">
        <f t="shared" si="2"/>
        <v>845</v>
      </c>
      <c r="Z10" s="10">
        <f t="shared" si="2"/>
        <v>723</v>
      </c>
      <c r="AA10" s="10">
        <f t="shared" si="2"/>
        <v>1052</v>
      </c>
      <c r="AB10" s="48">
        <f t="shared" si="2"/>
        <v>1197</v>
      </c>
      <c r="AC10" s="10">
        <f t="shared" si="0"/>
        <v>20996</v>
      </c>
    </row>
    <row r="11" spans="1:16" ht="12.75">
      <c r="A11" s="5" t="s">
        <v>24</v>
      </c>
      <c r="P11" s="5" t="s">
        <v>24</v>
      </c>
    </row>
    <row r="13" spans="1:16" ht="12.75">
      <c r="A13" t="s">
        <v>89</v>
      </c>
      <c r="P13" t="s">
        <v>90</v>
      </c>
    </row>
    <row r="14" spans="1:16" ht="12.75">
      <c r="A14" t="s">
        <v>31</v>
      </c>
      <c r="P14" t="s">
        <v>31</v>
      </c>
    </row>
    <row r="15" spans="1:29" ht="12.75">
      <c r="A15" s="1" t="s">
        <v>21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  <c r="K15" s="2" t="s">
        <v>28</v>
      </c>
      <c r="L15" s="2" t="s">
        <v>29</v>
      </c>
      <c r="M15" s="2" t="s">
        <v>30</v>
      </c>
      <c r="N15" s="6" t="s">
        <v>25</v>
      </c>
      <c r="P15" s="1" t="s">
        <v>21</v>
      </c>
      <c r="Q15" s="2" t="s">
        <v>0</v>
      </c>
      <c r="R15" s="2" t="s">
        <v>1</v>
      </c>
      <c r="S15" s="2" t="s">
        <v>2</v>
      </c>
      <c r="T15" s="2" t="s">
        <v>3</v>
      </c>
      <c r="U15" s="2" t="s">
        <v>4</v>
      </c>
      <c r="V15" s="2" t="s">
        <v>5</v>
      </c>
      <c r="W15" s="2" t="s">
        <v>6</v>
      </c>
      <c r="X15" s="2" t="s">
        <v>7</v>
      </c>
      <c r="Y15" s="2" t="s">
        <v>8</v>
      </c>
      <c r="Z15" s="2" t="s">
        <v>28</v>
      </c>
      <c r="AA15" s="2" t="s">
        <v>29</v>
      </c>
      <c r="AB15" s="2" t="s">
        <v>30</v>
      </c>
      <c r="AC15" s="6" t="s">
        <v>25</v>
      </c>
    </row>
    <row r="16" spans="1:29" ht="12.75">
      <c r="A16" s="4" t="s">
        <v>76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P16" s="4" t="s">
        <v>76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2.75">
      <c r="A17" s="4" t="s">
        <v>91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P17" s="4" t="s">
        <v>92</v>
      </c>
      <c r="Q17" s="8"/>
      <c r="R17" s="8"/>
      <c r="S17" s="8"/>
      <c r="T17" s="8"/>
      <c r="U17" s="8">
        <v>288334</v>
      </c>
      <c r="V17" s="8"/>
      <c r="W17" s="8"/>
      <c r="X17" s="8"/>
      <c r="Y17" s="8"/>
      <c r="Z17" s="8"/>
      <c r="AA17" s="8"/>
      <c r="AB17" s="8"/>
      <c r="AC17" s="8">
        <f aca="true" t="shared" si="3" ref="AC17:AC22">SUM(Q17:AB17)</f>
        <v>288334</v>
      </c>
    </row>
    <row r="18" spans="1:29" ht="12.75">
      <c r="A18" s="4" t="s">
        <v>11</v>
      </c>
      <c r="B18" s="8">
        <v>36473571</v>
      </c>
      <c r="C18" s="8">
        <v>35069327</v>
      </c>
      <c r="D18" s="8">
        <v>32638978</v>
      </c>
      <c r="E18" s="8">
        <v>39013323</v>
      </c>
      <c r="F18" s="8">
        <v>52051897</v>
      </c>
      <c r="G18" s="8">
        <v>54978988</v>
      </c>
      <c r="H18" s="8">
        <v>38611668</v>
      </c>
      <c r="I18" s="8">
        <v>34941140</v>
      </c>
      <c r="J18" s="8">
        <v>31034773</v>
      </c>
      <c r="K18" s="8">
        <v>40863485</v>
      </c>
      <c r="L18" s="8">
        <v>73557861</v>
      </c>
      <c r="M18" s="8">
        <v>56220161</v>
      </c>
      <c r="N18" s="8">
        <f>SUM(B18:M18)</f>
        <v>525455172</v>
      </c>
      <c r="P18" s="4" t="s">
        <v>11</v>
      </c>
      <c r="Q18" s="8">
        <v>1760934</v>
      </c>
      <c r="R18" s="8">
        <v>2287583</v>
      </c>
      <c r="S18" s="8">
        <v>1764663</v>
      </c>
      <c r="T18" s="8">
        <v>1481442</v>
      </c>
      <c r="U18" s="8">
        <v>2752807</v>
      </c>
      <c r="V18" s="8">
        <v>3613124</v>
      </c>
      <c r="W18" s="8">
        <v>4850935</v>
      </c>
      <c r="X18" s="8">
        <v>4742023</v>
      </c>
      <c r="Y18" s="8">
        <v>1804123</v>
      </c>
      <c r="Z18" s="8">
        <v>1149619</v>
      </c>
      <c r="AA18" s="8">
        <v>1743182</v>
      </c>
      <c r="AB18" s="8">
        <v>1793008</v>
      </c>
      <c r="AC18" s="8">
        <f t="shared" si="3"/>
        <v>29743443</v>
      </c>
    </row>
    <row r="19" spans="1:29" ht="12.75">
      <c r="A19" s="4" t="s">
        <v>12</v>
      </c>
      <c r="B19" s="8">
        <v>12431962</v>
      </c>
      <c r="C19" s="8">
        <v>15311251</v>
      </c>
      <c r="D19" s="8">
        <v>19272246</v>
      </c>
      <c r="E19" s="8">
        <v>16565286</v>
      </c>
      <c r="F19" s="8">
        <v>5553861</v>
      </c>
      <c r="G19" s="8">
        <v>9278116</v>
      </c>
      <c r="H19" s="8">
        <v>11091078</v>
      </c>
      <c r="I19" s="8">
        <v>10696013</v>
      </c>
      <c r="J19" s="8">
        <v>10311249</v>
      </c>
      <c r="K19" s="8">
        <v>7482774</v>
      </c>
      <c r="L19" s="8">
        <v>6861241</v>
      </c>
      <c r="M19" s="8">
        <v>10251476</v>
      </c>
      <c r="N19" s="8">
        <f>SUM(B19:M19)</f>
        <v>135106553</v>
      </c>
      <c r="P19" s="4" t="s">
        <v>12</v>
      </c>
      <c r="Q19" s="8">
        <v>810327</v>
      </c>
      <c r="R19" s="8">
        <v>753571</v>
      </c>
      <c r="S19" s="8">
        <v>267793</v>
      </c>
      <c r="T19" s="8">
        <v>314583</v>
      </c>
      <c r="U19" s="8"/>
      <c r="V19" s="8">
        <v>40385</v>
      </c>
      <c r="W19" s="8">
        <v>207100</v>
      </c>
      <c r="X19" s="8">
        <v>95389</v>
      </c>
      <c r="Y19" s="8">
        <v>130593</v>
      </c>
      <c r="Z19" s="8">
        <v>106465</v>
      </c>
      <c r="AA19" s="8">
        <v>79767</v>
      </c>
      <c r="AB19" s="8">
        <v>97226</v>
      </c>
      <c r="AC19" s="8">
        <f t="shared" si="3"/>
        <v>2903199</v>
      </c>
    </row>
    <row r="20" spans="1:29" ht="12.75">
      <c r="A20" s="4" t="s">
        <v>18</v>
      </c>
      <c r="B20" s="8"/>
      <c r="C20" s="8"/>
      <c r="D20" s="8"/>
      <c r="E20" s="8"/>
      <c r="F20" s="8">
        <v>54388</v>
      </c>
      <c r="G20" s="8"/>
      <c r="H20" s="8">
        <v>14684</v>
      </c>
      <c r="I20" s="8">
        <v>14369</v>
      </c>
      <c r="J20" s="8"/>
      <c r="K20" s="8"/>
      <c r="L20" s="8"/>
      <c r="M20" s="8"/>
      <c r="N20" s="8">
        <f>SUM(B20:M20)</f>
        <v>83441</v>
      </c>
      <c r="P20" s="4" t="s">
        <v>18</v>
      </c>
      <c r="Q20" s="8">
        <v>48271</v>
      </c>
      <c r="R20" s="8">
        <v>242186</v>
      </c>
      <c r="S20" s="8">
        <v>966743</v>
      </c>
      <c r="T20" s="8">
        <v>1089680</v>
      </c>
      <c r="U20" s="8">
        <v>1057455</v>
      </c>
      <c r="V20" s="8">
        <v>491142</v>
      </c>
      <c r="W20" s="8">
        <v>888217</v>
      </c>
      <c r="X20" s="8">
        <v>311318</v>
      </c>
      <c r="Y20" s="8">
        <v>277338</v>
      </c>
      <c r="Z20" s="8">
        <v>646533</v>
      </c>
      <c r="AA20" s="8">
        <f>988963+3368</f>
        <v>992331</v>
      </c>
      <c r="AB20" s="8">
        <v>601153</v>
      </c>
      <c r="AC20" s="8">
        <f t="shared" si="3"/>
        <v>7612367</v>
      </c>
    </row>
    <row r="21" spans="1:29" ht="12.75">
      <c r="A21" s="4" t="s">
        <v>19</v>
      </c>
      <c r="B21" s="8"/>
      <c r="C21" s="8"/>
      <c r="D21" s="8"/>
      <c r="E21" s="8">
        <v>39820</v>
      </c>
      <c r="F21" s="8"/>
      <c r="G21" s="8"/>
      <c r="H21" s="8"/>
      <c r="I21" s="8">
        <v>75719</v>
      </c>
      <c r="J21" s="8"/>
      <c r="K21" s="8">
        <v>42307</v>
      </c>
      <c r="L21" s="8"/>
      <c r="M21" s="8"/>
      <c r="N21" s="8">
        <f>SUM(B21:M21)</f>
        <v>157846</v>
      </c>
      <c r="P21" s="4" t="s">
        <v>19</v>
      </c>
      <c r="Q21" s="8">
        <v>996411</v>
      </c>
      <c r="R21" s="8">
        <v>3489017</v>
      </c>
      <c r="S21" s="8">
        <v>3531599</v>
      </c>
      <c r="T21" s="8">
        <v>2610349</v>
      </c>
      <c r="U21" s="8">
        <v>2753597</v>
      </c>
      <c r="V21" s="8">
        <v>2104503</v>
      </c>
      <c r="W21" s="8">
        <v>1108065</v>
      </c>
      <c r="X21" s="8">
        <v>493789</v>
      </c>
      <c r="Y21" s="8">
        <v>364744</v>
      </c>
      <c r="Z21" s="8">
        <v>336923</v>
      </c>
      <c r="AA21" s="8">
        <v>549210</v>
      </c>
      <c r="AB21" s="8">
        <v>1527866</v>
      </c>
      <c r="AC21" s="8">
        <f t="shared" si="3"/>
        <v>19866073</v>
      </c>
    </row>
    <row r="22" spans="1:29" ht="12.75">
      <c r="A22" s="1" t="s">
        <v>20</v>
      </c>
      <c r="B22" s="10">
        <f aca="true" t="shared" si="4" ref="B22:M22">SUM(B16:B21)</f>
        <v>48905533</v>
      </c>
      <c r="C22" s="10">
        <f t="shared" si="4"/>
        <v>50380578</v>
      </c>
      <c r="D22" s="10">
        <f t="shared" si="4"/>
        <v>51911224</v>
      </c>
      <c r="E22" s="10">
        <f t="shared" si="4"/>
        <v>55618429</v>
      </c>
      <c r="F22" s="10">
        <f t="shared" si="4"/>
        <v>57660146</v>
      </c>
      <c r="G22" s="10">
        <f t="shared" si="4"/>
        <v>64257104</v>
      </c>
      <c r="H22" s="10">
        <f t="shared" si="4"/>
        <v>49717430</v>
      </c>
      <c r="I22" s="10">
        <f t="shared" si="4"/>
        <v>45727241</v>
      </c>
      <c r="J22" s="10">
        <f t="shared" si="4"/>
        <v>41346022</v>
      </c>
      <c r="K22" s="10">
        <f t="shared" si="4"/>
        <v>48388566</v>
      </c>
      <c r="L22" s="10">
        <f t="shared" si="4"/>
        <v>80419102</v>
      </c>
      <c r="M22" s="10">
        <f t="shared" si="4"/>
        <v>66471637</v>
      </c>
      <c r="N22" s="10">
        <f>SUM(B22:M22)</f>
        <v>660803012</v>
      </c>
      <c r="P22" s="1" t="s">
        <v>20</v>
      </c>
      <c r="Q22" s="10">
        <f aca="true" t="shared" si="5" ref="Q22:AB22">SUM(Q16:Q21)</f>
        <v>3615943</v>
      </c>
      <c r="R22" s="10">
        <f t="shared" si="5"/>
        <v>6772357</v>
      </c>
      <c r="S22" s="10">
        <f t="shared" si="5"/>
        <v>6530798</v>
      </c>
      <c r="T22" s="10">
        <f t="shared" si="5"/>
        <v>5496054</v>
      </c>
      <c r="U22" s="10">
        <f t="shared" si="5"/>
        <v>6852193</v>
      </c>
      <c r="V22" s="10">
        <f t="shared" si="5"/>
        <v>6249154</v>
      </c>
      <c r="W22" s="10">
        <f t="shared" si="5"/>
        <v>7054317</v>
      </c>
      <c r="X22" s="10">
        <f t="shared" si="5"/>
        <v>5642519</v>
      </c>
      <c r="Y22" s="10">
        <f t="shared" si="5"/>
        <v>2576798</v>
      </c>
      <c r="Z22" s="10">
        <f t="shared" si="5"/>
        <v>2239540</v>
      </c>
      <c r="AA22" s="10">
        <f t="shared" si="5"/>
        <v>3364490</v>
      </c>
      <c r="AB22" s="10">
        <f t="shared" si="5"/>
        <v>4019253</v>
      </c>
      <c r="AC22" s="10">
        <f t="shared" si="3"/>
        <v>60413416</v>
      </c>
    </row>
    <row r="23" spans="1:16" ht="12.75">
      <c r="A23" s="5" t="s">
        <v>24</v>
      </c>
      <c r="P23" s="5" t="s">
        <v>24</v>
      </c>
    </row>
    <row r="25" spans="1:16" ht="12.75">
      <c r="A25" t="s">
        <v>89</v>
      </c>
      <c r="P25" t="s">
        <v>90</v>
      </c>
    </row>
    <row r="26" spans="1:16" ht="12.75">
      <c r="A26" t="s">
        <v>32</v>
      </c>
      <c r="P26" t="s">
        <v>32</v>
      </c>
    </row>
    <row r="27" spans="1:29" ht="12.75">
      <c r="A27" s="1" t="s">
        <v>21</v>
      </c>
      <c r="B27" s="2" t="s">
        <v>0</v>
      </c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2" t="s">
        <v>8</v>
      </c>
      <c r="K27" s="2" t="s">
        <v>28</v>
      </c>
      <c r="L27" s="2" t="s">
        <v>29</v>
      </c>
      <c r="M27" s="2" t="s">
        <v>30</v>
      </c>
      <c r="N27" s="6" t="s">
        <v>25</v>
      </c>
      <c r="P27" s="1" t="s">
        <v>21</v>
      </c>
      <c r="Q27" s="2" t="s">
        <v>0</v>
      </c>
      <c r="R27" s="2" t="s">
        <v>1</v>
      </c>
      <c r="S27" s="2" t="s">
        <v>2</v>
      </c>
      <c r="T27" s="2" t="s">
        <v>3</v>
      </c>
      <c r="U27" s="2" t="s">
        <v>4</v>
      </c>
      <c r="V27" s="2" t="s">
        <v>5</v>
      </c>
      <c r="W27" s="2" t="s">
        <v>6</v>
      </c>
      <c r="X27" s="2" t="s">
        <v>7</v>
      </c>
      <c r="Y27" s="2" t="s">
        <v>8</v>
      </c>
      <c r="Z27" s="2" t="s">
        <v>28</v>
      </c>
      <c r="AA27" s="2" t="s">
        <v>29</v>
      </c>
      <c r="AB27" s="2" t="s">
        <v>30</v>
      </c>
      <c r="AC27" s="6" t="s">
        <v>25</v>
      </c>
    </row>
    <row r="28" spans="1:29" ht="12.75">
      <c r="A28" s="4" t="s">
        <v>76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P28" s="4" t="s">
        <v>76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2.75">
      <c r="A29" s="4" t="s">
        <v>91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P29" s="4" t="s">
        <v>92</v>
      </c>
      <c r="Q29" s="15"/>
      <c r="R29" s="15"/>
      <c r="S29" s="15"/>
      <c r="T29" s="15"/>
      <c r="U29" s="15">
        <f>U17/U5</f>
        <v>6268.130434782609</v>
      </c>
      <c r="V29" s="15"/>
      <c r="W29" s="15"/>
      <c r="X29" s="15"/>
      <c r="Y29" s="15"/>
      <c r="Z29" s="15"/>
      <c r="AA29" s="15"/>
      <c r="AB29" s="15"/>
      <c r="AC29" s="15">
        <f>AC17/AC5</f>
        <v>6268.130434782609</v>
      </c>
    </row>
    <row r="30" spans="1:29" ht="12.75">
      <c r="A30" s="4" t="s">
        <v>11</v>
      </c>
      <c r="B30" s="15">
        <f aca="true" t="shared" si="6" ref="B30:N30">B18/B6</f>
        <v>3897.581855097243</v>
      </c>
      <c r="C30" s="15">
        <f t="shared" si="6"/>
        <v>4112.739181423713</v>
      </c>
      <c r="D30" s="15">
        <f t="shared" si="6"/>
        <v>3937.6255278079384</v>
      </c>
      <c r="E30" s="15">
        <f t="shared" si="6"/>
        <v>3834.610084529192</v>
      </c>
      <c r="F30" s="15">
        <f t="shared" si="6"/>
        <v>3874.061997618339</v>
      </c>
      <c r="G30" s="15">
        <f t="shared" si="6"/>
        <v>3941.4286328769085</v>
      </c>
      <c r="H30" s="15">
        <f t="shared" si="6"/>
        <v>3571.516788456202</v>
      </c>
      <c r="I30" s="15">
        <f t="shared" si="6"/>
        <v>3478.807248108323</v>
      </c>
      <c r="J30" s="15">
        <f t="shared" si="6"/>
        <v>3535.5175438596493</v>
      </c>
      <c r="K30" s="15">
        <f t="shared" si="6"/>
        <v>3807.6299850913156</v>
      </c>
      <c r="L30" s="15">
        <f t="shared" si="6"/>
        <v>3702.5147732420596</v>
      </c>
      <c r="M30" s="15">
        <f t="shared" si="6"/>
        <v>3914.235257258233</v>
      </c>
      <c r="N30" s="15">
        <f t="shared" si="6"/>
        <v>3798.6175756173734</v>
      </c>
      <c r="P30" s="4" t="s">
        <v>11</v>
      </c>
      <c r="Q30" s="15">
        <f aca="true" t="shared" si="7" ref="Q30:T32">Q18/Q6</f>
        <v>3267.038961038961</v>
      </c>
      <c r="R30" s="15">
        <f t="shared" si="7"/>
        <v>2168.325118483412</v>
      </c>
      <c r="S30" s="15">
        <f t="shared" si="7"/>
        <v>2576.1503649635038</v>
      </c>
      <c r="T30" s="15">
        <f t="shared" si="7"/>
        <v>2986.7782258064517</v>
      </c>
      <c r="U30" s="15">
        <f aca="true" t="shared" si="8" ref="U30:AC30">U18/U6</f>
        <v>3114.035067873303</v>
      </c>
      <c r="V30" s="15">
        <f t="shared" si="8"/>
        <v>2549.8405081157375</v>
      </c>
      <c r="W30" s="15">
        <f t="shared" si="8"/>
        <v>2674.164829106946</v>
      </c>
      <c r="X30" s="15">
        <f t="shared" si="8"/>
        <v>2891.47743902439</v>
      </c>
      <c r="Y30" s="15">
        <f t="shared" si="8"/>
        <v>3126.729636048527</v>
      </c>
      <c r="Z30" s="15">
        <f t="shared" si="8"/>
        <v>3049.3872679045094</v>
      </c>
      <c r="AA30" s="15">
        <f t="shared" si="8"/>
        <v>3192.641025641026</v>
      </c>
      <c r="AB30" s="15">
        <f t="shared" si="8"/>
        <v>3831.2136752136753</v>
      </c>
      <c r="AC30" s="15">
        <f t="shared" si="8"/>
        <v>2833.248523528291</v>
      </c>
    </row>
    <row r="31" spans="1:29" ht="12.75">
      <c r="A31" s="4" t="s">
        <v>12</v>
      </c>
      <c r="B31" s="15">
        <f aca="true" t="shared" si="9" ref="B31:H31">B19/B7</f>
        <v>3495.0694405397808</v>
      </c>
      <c r="C31" s="15">
        <f t="shared" si="9"/>
        <v>3567.3930568499536</v>
      </c>
      <c r="D31" s="15">
        <f t="shared" si="9"/>
        <v>3714.057814607824</v>
      </c>
      <c r="E31" s="15">
        <f t="shared" si="9"/>
        <v>3469.169842931937</v>
      </c>
      <c r="F31" s="15">
        <f t="shared" si="9"/>
        <v>3599.391445236552</v>
      </c>
      <c r="G31" s="15">
        <f t="shared" si="9"/>
        <v>3543.970970206264</v>
      </c>
      <c r="H31" s="15">
        <f t="shared" si="9"/>
        <v>3164.358915834522</v>
      </c>
      <c r="I31" s="15">
        <f aca="true" t="shared" si="10" ref="I31:N31">I19/I7</f>
        <v>3067.3969027817607</v>
      </c>
      <c r="J31" s="15">
        <f t="shared" si="10"/>
        <v>3182.484259259259</v>
      </c>
      <c r="K31" s="15">
        <f t="shared" si="10"/>
        <v>3469.0653685674547</v>
      </c>
      <c r="L31" s="15">
        <f t="shared" si="10"/>
        <v>3655.4294086307937</v>
      </c>
      <c r="M31" s="15">
        <f t="shared" si="10"/>
        <v>3560.7766585620006</v>
      </c>
      <c r="N31" s="15">
        <f t="shared" si="10"/>
        <v>3453.732278432475</v>
      </c>
      <c r="P31" s="4" t="s">
        <v>12</v>
      </c>
      <c r="Q31" s="15">
        <f t="shared" si="7"/>
        <v>2005.759900990099</v>
      </c>
      <c r="R31" s="15">
        <f t="shared" si="7"/>
        <v>2325.8364197530864</v>
      </c>
      <c r="S31" s="15">
        <f t="shared" si="7"/>
        <v>1642.9018404907974</v>
      </c>
      <c r="T31" s="15">
        <f t="shared" si="7"/>
        <v>2438.6279069767443</v>
      </c>
      <c r="U31" s="15"/>
      <c r="V31" s="15">
        <f aca="true" t="shared" si="11" ref="V31:AC31">V19/V7</f>
        <v>5769.285714285715</v>
      </c>
      <c r="W31" s="15">
        <f t="shared" si="11"/>
        <v>5310.25641025641</v>
      </c>
      <c r="X31" s="15">
        <f t="shared" si="11"/>
        <v>2649.6944444444443</v>
      </c>
      <c r="Y31" s="15">
        <f t="shared" si="11"/>
        <v>2009.123076923077</v>
      </c>
      <c r="Z31" s="15">
        <f t="shared" si="11"/>
        <v>2877.4324324324325</v>
      </c>
      <c r="AA31" s="15">
        <f t="shared" si="11"/>
        <v>2155.864864864865</v>
      </c>
      <c r="AB31" s="15">
        <f t="shared" si="11"/>
        <v>5117.1578947368425</v>
      </c>
      <c r="AC31" s="15">
        <f t="shared" si="11"/>
        <v>2304.1261904761905</v>
      </c>
    </row>
    <row r="32" spans="1:29" ht="12.75">
      <c r="A32" s="4" t="s">
        <v>18</v>
      </c>
      <c r="B32" s="15"/>
      <c r="C32" s="15"/>
      <c r="D32" s="15"/>
      <c r="E32" s="15"/>
      <c r="F32" s="15">
        <f>F20/F8</f>
        <v>2014.3703703703704</v>
      </c>
      <c r="G32" s="15"/>
      <c r="H32" s="15">
        <f>H20/H8</f>
        <v>1984.3243243243242</v>
      </c>
      <c r="I32" s="15">
        <f>I20/I8</f>
        <v>1968.3561643835617</v>
      </c>
      <c r="J32" s="15"/>
      <c r="K32" s="15"/>
      <c r="L32" s="15"/>
      <c r="M32" s="15"/>
      <c r="N32" s="15">
        <f>N20/N8</f>
        <v>2000.9832134292567</v>
      </c>
      <c r="P32" s="4" t="s">
        <v>18</v>
      </c>
      <c r="Q32" s="15">
        <f t="shared" si="7"/>
        <v>3016.9375</v>
      </c>
      <c r="R32" s="15">
        <f t="shared" si="7"/>
        <v>3065.6455696202534</v>
      </c>
      <c r="S32" s="15">
        <f t="shared" si="7"/>
        <v>2983.7746913580245</v>
      </c>
      <c r="T32" s="15">
        <f t="shared" si="7"/>
        <v>2945.0810810810813</v>
      </c>
      <c r="U32" s="15">
        <f aca="true" t="shared" si="12" ref="U32:AC32">U20/U8</f>
        <v>2865.731707317073</v>
      </c>
      <c r="V32" s="15">
        <f t="shared" si="12"/>
        <v>2976.6181818181817</v>
      </c>
      <c r="W32" s="15">
        <f t="shared" si="12"/>
        <v>3160.9145907473307</v>
      </c>
      <c r="X32" s="15">
        <f t="shared" si="12"/>
        <v>2993.4423076923076</v>
      </c>
      <c r="Y32" s="15">
        <f t="shared" si="12"/>
        <v>3555.6153846153848</v>
      </c>
      <c r="Z32" s="15">
        <f t="shared" si="12"/>
        <v>3064.137440758294</v>
      </c>
      <c r="AA32" s="15">
        <f t="shared" si="12"/>
        <v>3211.4271844660193</v>
      </c>
      <c r="AB32" s="15">
        <f t="shared" si="12"/>
        <v>3067.1071428571427</v>
      </c>
      <c r="AC32" s="15">
        <f t="shared" si="12"/>
        <v>3042.5127897681855</v>
      </c>
    </row>
    <row r="33" spans="1:29" ht="12.75">
      <c r="A33" s="4" t="s">
        <v>19</v>
      </c>
      <c r="B33" s="15"/>
      <c r="C33" s="15"/>
      <c r="D33" s="15"/>
      <c r="E33" s="15">
        <f>E21/E9</f>
        <v>2654.6666666666665</v>
      </c>
      <c r="F33" s="15"/>
      <c r="G33" s="15"/>
      <c r="H33" s="15"/>
      <c r="I33" s="15">
        <f aca="true" t="shared" si="13" ref="I33:N33">I21/I9</f>
        <v>2611</v>
      </c>
      <c r="J33" s="15"/>
      <c r="K33" s="15">
        <f t="shared" si="13"/>
        <v>2820.4666666666667</v>
      </c>
      <c r="L33" s="15"/>
      <c r="M33" s="15"/>
      <c r="N33" s="15">
        <f t="shared" si="13"/>
        <v>2675.35593220339</v>
      </c>
      <c r="P33" s="4" t="s">
        <v>19</v>
      </c>
      <c r="Q33" s="15">
        <f aca="true" t="shared" si="14" ref="Q33:AC33">Q21/Q9</f>
        <v>3019.427272727273</v>
      </c>
      <c r="R33" s="15">
        <f t="shared" si="14"/>
        <v>3134.7861635220124</v>
      </c>
      <c r="S33" s="15">
        <f t="shared" si="14"/>
        <v>2972.726430976431</v>
      </c>
      <c r="T33" s="15">
        <f t="shared" si="14"/>
        <v>2900.387777777778</v>
      </c>
      <c r="U33" s="15">
        <f t="shared" si="14"/>
        <v>2835.8362512873327</v>
      </c>
      <c r="V33" s="15">
        <f t="shared" si="14"/>
        <v>2840.085020242915</v>
      </c>
      <c r="W33" s="15">
        <f t="shared" si="14"/>
        <v>2848.4961439588687</v>
      </c>
      <c r="X33" s="15">
        <f t="shared" si="14"/>
        <v>3067.0124223602484</v>
      </c>
      <c r="Y33" s="15">
        <f t="shared" si="14"/>
        <v>2917.952</v>
      </c>
      <c r="Z33" s="15">
        <f t="shared" si="14"/>
        <v>3437.9897959183672</v>
      </c>
      <c r="AA33" s="15">
        <f t="shared" si="14"/>
        <v>3432.5625</v>
      </c>
      <c r="AB33" s="15">
        <f t="shared" si="14"/>
        <v>2972.501945525292</v>
      </c>
      <c r="AC33" s="15">
        <f t="shared" si="14"/>
        <v>2969.517638266069</v>
      </c>
    </row>
    <row r="34" spans="1:29" ht="12.75">
      <c r="A34" s="1" t="s">
        <v>20</v>
      </c>
      <c r="B34" s="17">
        <f>B22/B10</f>
        <v>3786.723422377081</v>
      </c>
      <c r="C34" s="17">
        <f>C22/C10</f>
        <v>3930.1488415633044</v>
      </c>
      <c r="D34" s="17">
        <f>D22/D10</f>
        <v>3851.552455853984</v>
      </c>
      <c r="E34" s="17">
        <f>E22/E10</f>
        <v>3716.815624164662</v>
      </c>
      <c r="F34" s="17">
        <f>F22/F10</f>
        <v>3842.472744235639</v>
      </c>
      <c r="G34" s="17">
        <f>G22/G10</f>
        <v>3878.620389931792</v>
      </c>
      <c r="H34" s="17">
        <f>H22/H10</f>
        <v>3471.063434659369</v>
      </c>
      <c r="I34" s="17">
        <f aca="true" t="shared" si="15" ref="I34:N34">I22/I10</f>
        <v>3370.400964082758</v>
      </c>
      <c r="J34" s="17">
        <f t="shared" si="15"/>
        <v>3440.3413213513063</v>
      </c>
      <c r="K34" s="17">
        <f t="shared" si="15"/>
        <v>3749.8888716676997</v>
      </c>
      <c r="L34" s="17">
        <f t="shared" si="15"/>
        <v>3698.450239146431</v>
      </c>
      <c r="M34" s="17">
        <f t="shared" si="15"/>
        <v>3855.216158218304</v>
      </c>
      <c r="N34" s="17">
        <f t="shared" si="15"/>
        <v>3721.833693142744</v>
      </c>
      <c r="P34" s="1" t="s">
        <v>20</v>
      </c>
      <c r="Q34" s="17">
        <f aca="true" t="shared" si="16" ref="Q34:AC34">Q22/Q10</f>
        <v>2805.231186966641</v>
      </c>
      <c r="R34" s="17">
        <f t="shared" si="16"/>
        <v>2634.1334111240762</v>
      </c>
      <c r="S34" s="17">
        <f t="shared" si="16"/>
        <v>2767.2872881355934</v>
      </c>
      <c r="T34" s="17">
        <f t="shared" si="16"/>
        <v>2900.2923482849606</v>
      </c>
      <c r="U34" s="17">
        <f t="shared" si="16"/>
        <v>3018.5872246696035</v>
      </c>
      <c r="V34" s="17">
        <f t="shared" si="16"/>
        <v>2682.0403433476395</v>
      </c>
      <c r="W34" s="17">
        <f t="shared" si="16"/>
        <v>2796.0035671819264</v>
      </c>
      <c r="X34" s="17">
        <f t="shared" si="16"/>
        <v>2907.0164863472437</v>
      </c>
      <c r="Y34" s="17">
        <f t="shared" si="16"/>
        <v>3049.4650887573966</v>
      </c>
      <c r="Z34" s="17">
        <f t="shared" si="16"/>
        <v>3097.5656984785614</v>
      </c>
      <c r="AA34" s="17">
        <f t="shared" si="16"/>
        <v>3198.1844106463877</v>
      </c>
      <c r="AB34" s="17">
        <f t="shared" si="16"/>
        <v>3357.7719298245615</v>
      </c>
      <c r="AC34" s="17">
        <f t="shared" si="16"/>
        <v>2877.377405220042</v>
      </c>
    </row>
    <row r="35" spans="1:16" ht="12.75">
      <c r="A35" s="5" t="s">
        <v>24</v>
      </c>
      <c r="P35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99</v>
      </c>
      <c r="P1" t="s">
        <v>100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</row>
    <row r="4" spans="1:29" ht="12.75">
      <c r="A4" s="4" t="s">
        <v>101</v>
      </c>
      <c r="B4" s="29"/>
      <c r="C4" s="90"/>
      <c r="D4" s="89"/>
      <c r="E4" s="29"/>
      <c r="F4" s="29"/>
      <c r="G4" s="29"/>
      <c r="H4" s="29"/>
      <c r="I4" s="29"/>
      <c r="J4" s="29"/>
      <c r="K4" s="29"/>
      <c r="L4" s="29"/>
      <c r="M4" s="29"/>
      <c r="N4" s="7"/>
      <c r="P4" s="4" t="s">
        <v>101</v>
      </c>
      <c r="Q4" s="25"/>
      <c r="R4" s="54"/>
      <c r="S4" s="52"/>
      <c r="T4" s="25">
        <v>8</v>
      </c>
      <c r="U4" s="25"/>
      <c r="V4" s="25"/>
      <c r="W4" s="25"/>
      <c r="X4" s="25">
        <v>5</v>
      </c>
      <c r="Y4" s="25"/>
      <c r="Z4" s="25">
        <v>3</v>
      </c>
      <c r="AA4" s="25"/>
      <c r="AB4" s="25">
        <v>4</v>
      </c>
      <c r="AC4" s="7">
        <f>SUM(Q4:AB4)</f>
        <v>20</v>
      </c>
    </row>
    <row r="5" spans="1:29" ht="12.75">
      <c r="A5" s="4" t="s">
        <v>102</v>
      </c>
      <c r="B5" s="29"/>
      <c r="C5" s="8"/>
      <c r="D5" s="50"/>
      <c r="E5" s="29"/>
      <c r="F5" s="29"/>
      <c r="G5" s="29"/>
      <c r="H5" s="29"/>
      <c r="I5" s="29"/>
      <c r="J5" s="25">
        <v>268</v>
      </c>
      <c r="K5" s="25">
        <v>19</v>
      </c>
      <c r="L5" s="25">
        <v>502</v>
      </c>
      <c r="M5" s="25"/>
      <c r="N5" s="25">
        <f>SUM(B5:M5)</f>
        <v>789</v>
      </c>
      <c r="P5" s="4" t="s">
        <v>102</v>
      </c>
      <c r="Q5" s="25">
        <v>1401</v>
      </c>
      <c r="R5" s="25">
        <v>1351</v>
      </c>
      <c r="S5" s="51">
        <v>949</v>
      </c>
      <c r="T5" s="25">
        <v>75</v>
      </c>
      <c r="U5" s="25">
        <v>198</v>
      </c>
      <c r="V5" s="25">
        <v>25</v>
      </c>
      <c r="W5" s="25"/>
      <c r="X5" s="25">
        <v>225</v>
      </c>
      <c r="Y5" s="25">
        <v>179</v>
      </c>
      <c r="Z5" s="25">
        <v>1410</v>
      </c>
      <c r="AA5" s="25">
        <v>1452</v>
      </c>
      <c r="AB5" s="25">
        <v>1089</v>
      </c>
      <c r="AC5" s="8">
        <f>SUM(Q5:AB5)</f>
        <v>8354</v>
      </c>
    </row>
    <row r="6" spans="1:29" ht="12.75">
      <c r="A6" s="4" t="s">
        <v>103</v>
      </c>
      <c r="B6" s="8">
        <v>22</v>
      </c>
      <c r="C6" s="9"/>
      <c r="D6" s="50"/>
      <c r="E6" s="8">
        <v>500</v>
      </c>
      <c r="F6" s="8">
        <v>144</v>
      </c>
      <c r="G6" s="8">
        <v>350</v>
      </c>
      <c r="H6" s="8">
        <v>200</v>
      </c>
      <c r="I6" s="8">
        <v>576</v>
      </c>
      <c r="J6" s="8">
        <v>708</v>
      </c>
      <c r="K6" s="8">
        <v>1086</v>
      </c>
      <c r="L6" s="8">
        <v>678</v>
      </c>
      <c r="M6" s="8">
        <v>912</v>
      </c>
      <c r="N6" s="8">
        <f>SUM(B6:M6)</f>
        <v>5176</v>
      </c>
      <c r="P6" s="4" t="s">
        <v>103</v>
      </c>
      <c r="Q6" s="25">
        <v>1133</v>
      </c>
      <c r="R6" s="55">
        <v>367</v>
      </c>
      <c r="S6" s="51"/>
      <c r="T6" s="25"/>
      <c r="U6" s="25">
        <v>475</v>
      </c>
      <c r="V6" s="25">
        <v>150</v>
      </c>
      <c r="W6" s="25">
        <v>188</v>
      </c>
      <c r="X6" s="25">
        <v>25</v>
      </c>
      <c r="Y6" s="25">
        <v>323</v>
      </c>
      <c r="Z6" s="25">
        <v>322</v>
      </c>
      <c r="AA6" s="25">
        <v>135</v>
      </c>
      <c r="AB6" s="25">
        <v>624</v>
      </c>
      <c r="AC6" s="8">
        <f>SUM(Q6:AB6)</f>
        <v>3742</v>
      </c>
    </row>
    <row r="7" spans="1:29" ht="12.75">
      <c r="A7" s="1" t="s">
        <v>20</v>
      </c>
      <c r="B7" s="10">
        <f>SUM(B4:B6)</f>
        <v>22</v>
      </c>
      <c r="C7" s="10">
        <f aca="true" t="shared" si="0" ref="C7:N7">SUM(C4:C6)</f>
        <v>0</v>
      </c>
      <c r="D7" s="10">
        <f t="shared" si="0"/>
        <v>0</v>
      </c>
      <c r="E7" s="10">
        <f t="shared" si="0"/>
        <v>500</v>
      </c>
      <c r="F7" s="10">
        <f t="shared" si="0"/>
        <v>144</v>
      </c>
      <c r="G7" s="10">
        <f t="shared" si="0"/>
        <v>350</v>
      </c>
      <c r="H7" s="10">
        <f t="shared" si="0"/>
        <v>200</v>
      </c>
      <c r="I7" s="10">
        <f t="shared" si="0"/>
        <v>576</v>
      </c>
      <c r="J7" s="10">
        <f t="shared" si="0"/>
        <v>976</v>
      </c>
      <c r="K7" s="10">
        <f t="shared" si="0"/>
        <v>1105</v>
      </c>
      <c r="L7" s="10">
        <f t="shared" si="0"/>
        <v>1180</v>
      </c>
      <c r="M7" s="10">
        <f t="shared" si="0"/>
        <v>912</v>
      </c>
      <c r="N7" s="10">
        <f t="shared" si="0"/>
        <v>5965</v>
      </c>
      <c r="P7" s="1" t="s">
        <v>20</v>
      </c>
      <c r="Q7" s="39">
        <f>SUM(Q4:Q6)</f>
        <v>2534</v>
      </c>
      <c r="R7" s="39">
        <f aca="true" t="shared" si="1" ref="R7:AB7">SUM(R4:R6)</f>
        <v>1718</v>
      </c>
      <c r="S7" s="39">
        <f t="shared" si="1"/>
        <v>949</v>
      </c>
      <c r="T7" s="39">
        <f t="shared" si="1"/>
        <v>83</v>
      </c>
      <c r="U7" s="39">
        <f t="shared" si="1"/>
        <v>673</v>
      </c>
      <c r="V7" s="39">
        <f t="shared" si="1"/>
        <v>175</v>
      </c>
      <c r="W7" s="39">
        <f t="shared" si="1"/>
        <v>188</v>
      </c>
      <c r="X7" s="39">
        <f t="shared" si="1"/>
        <v>255</v>
      </c>
      <c r="Y7" s="39">
        <f t="shared" si="1"/>
        <v>502</v>
      </c>
      <c r="Z7" s="39">
        <f t="shared" si="1"/>
        <v>1735</v>
      </c>
      <c r="AA7" s="39">
        <f t="shared" si="1"/>
        <v>1587</v>
      </c>
      <c r="AB7" s="39">
        <f t="shared" si="1"/>
        <v>1717</v>
      </c>
      <c r="AC7" s="10">
        <f>SUM(Q7:AB7)</f>
        <v>12116</v>
      </c>
    </row>
    <row r="8" spans="1:16" ht="12.75">
      <c r="A8" s="5" t="s">
        <v>24</v>
      </c>
      <c r="P8" s="5" t="s">
        <v>24</v>
      </c>
    </row>
    <row r="10" spans="1:16" ht="12.75">
      <c r="A10" t="s">
        <v>99</v>
      </c>
      <c r="P10" t="s">
        <v>100</v>
      </c>
    </row>
    <row r="11" spans="1:16" ht="12.75">
      <c r="A11" t="s">
        <v>31</v>
      </c>
      <c r="P11" t="s">
        <v>31</v>
      </c>
    </row>
    <row r="12" spans="1:29" ht="12.75">
      <c r="A12" s="1" t="s">
        <v>21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28</v>
      </c>
      <c r="L12" s="2" t="s">
        <v>29</v>
      </c>
      <c r="M12" s="2" t="s">
        <v>30</v>
      </c>
      <c r="N12" s="6" t="s">
        <v>25</v>
      </c>
      <c r="P12" s="1" t="s">
        <v>21</v>
      </c>
      <c r="Q12" s="2" t="s">
        <v>0</v>
      </c>
      <c r="R12" s="2" t="s">
        <v>1</v>
      </c>
      <c r="S12" s="2" t="s">
        <v>2</v>
      </c>
      <c r="T12" s="2" t="s">
        <v>3</v>
      </c>
      <c r="U12" s="2" t="s">
        <v>4</v>
      </c>
      <c r="V12" s="2" t="s">
        <v>5</v>
      </c>
      <c r="W12" s="2" t="s">
        <v>6</v>
      </c>
      <c r="X12" s="2" t="s">
        <v>7</v>
      </c>
      <c r="Y12" s="2" t="s">
        <v>8</v>
      </c>
      <c r="Z12" s="2" t="s">
        <v>28</v>
      </c>
      <c r="AA12" s="2" t="s">
        <v>29</v>
      </c>
      <c r="AB12" s="2" t="s">
        <v>30</v>
      </c>
      <c r="AC12" s="6" t="s">
        <v>25</v>
      </c>
    </row>
    <row r="13" spans="1:29" ht="12.75">
      <c r="A13" s="4" t="s">
        <v>101</v>
      </c>
      <c r="B13" s="25"/>
      <c r="C13" s="54"/>
      <c r="D13" s="52"/>
      <c r="E13" s="25"/>
      <c r="F13" s="25"/>
      <c r="G13" s="25"/>
      <c r="H13" s="25"/>
      <c r="I13" s="25"/>
      <c r="J13" s="25"/>
      <c r="K13" s="25"/>
      <c r="L13" s="25"/>
      <c r="M13" s="25"/>
      <c r="N13" s="54"/>
      <c r="P13" s="4" t="s">
        <v>101</v>
      </c>
      <c r="Q13" s="25"/>
      <c r="R13" s="25"/>
      <c r="S13" s="25"/>
      <c r="T13" s="25">
        <v>24949</v>
      </c>
      <c r="U13" s="25"/>
      <c r="V13" s="25"/>
      <c r="W13" s="25"/>
      <c r="X13" s="25">
        <v>23594</v>
      </c>
      <c r="Y13" s="25"/>
      <c r="Z13" s="25">
        <v>16236</v>
      </c>
      <c r="AA13" s="25"/>
      <c r="AB13" s="25">
        <v>26477</v>
      </c>
      <c r="AC13" s="54">
        <f>SUM(Q13:AB13)</f>
        <v>91256</v>
      </c>
    </row>
    <row r="14" spans="1:29" ht="12.75">
      <c r="A14" s="4" t="s">
        <v>102</v>
      </c>
      <c r="B14" s="25"/>
      <c r="C14" s="25"/>
      <c r="D14" s="51"/>
      <c r="E14" s="25"/>
      <c r="F14" s="25"/>
      <c r="G14" s="25"/>
      <c r="H14" s="25"/>
      <c r="I14" s="25"/>
      <c r="J14" s="25">
        <v>668889</v>
      </c>
      <c r="K14" s="25">
        <v>46632</v>
      </c>
      <c r="L14" s="25">
        <v>878752</v>
      </c>
      <c r="M14" s="25"/>
      <c r="N14" s="25">
        <f>SUM(B14:M14)</f>
        <v>1594273</v>
      </c>
      <c r="P14" s="4" t="s">
        <v>102</v>
      </c>
      <c r="Q14" s="25">
        <v>2908056</v>
      </c>
      <c r="R14" s="51">
        <v>2934881</v>
      </c>
      <c r="S14" s="51">
        <v>1738559</v>
      </c>
      <c r="T14" s="25">
        <v>93423</v>
      </c>
      <c r="U14" s="25">
        <v>236948</v>
      </c>
      <c r="V14" s="25">
        <v>32391</v>
      </c>
      <c r="W14" s="25"/>
      <c r="X14" s="25">
        <v>369896</v>
      </c>
      <c r="Y14" s="25">
        <v>316662</v>
      </c>
      <c r="Z14" s="25">
        <v>3288554</v>
      </c>
      <c r="AA14" s="25">
        <v>3284623</v>
      </c>
      <c r="AB14" s="25">
        <v>2478464</v>
      </c>
      <c r="AC14" s="25">
        <f>SUM(Q14:AB14)</f>
        <v>17682457</v>
      </c>
    </row>
    <row r="15" spans="1:29" ht="12.75">
      <c r="A15" s="4" t="s">
        <v>103</v>
      </c>
      <c r="B15" s="25">
        <v>53174</v>
      </c>
      <c r="C15" s="25"/>
      <c r="D15" s="51"/>
      <c r="E15" s="25">
        <v>1109750</v>
      </c>
      <c r="F15" s="25">
        <v>319102</v>
      </c>
      <c r="G15" s="25">
        <v>784998</v>
      </c>
      <c r="H15" s="25">
        <v>456900</v>
      </c>
      <c r="I15" s="25">
        <v>1367687</v>
      </c>
      <c r="J15" s="25">
        <v>1695622</v>
      </c>
      <c r="K15" s="25">
        <v>2627761</v>
      </c>
      <c r="L15" s="25">
        <v>1680965</v>
      </c>
      <c r="M15" s="25">
        <v>2259442</v>
      </c>
      <c r="N15" s="55">
        <f>SUM(B15:M15)</f>
        <v>12355401</v>
      </c>
      <c r="P15" s="4" t="s">
        <v>103</v>
      </c>
      <c r="Q15" s="25">
        <v>1935101</v>
      </c>
      <c r="R15" s="51">
        <v>621857</v>
      </c>
      <c r="S15" s="51"/>
      <c r="T15" s="25"/>
      <c r="U15" s="25">
        <v>1180178</v>
      </c>
      <c r="V15" s="25">
        <v>390345</v>
      </c>
      <c r="W15" s="25">
        <v>418044</v>
      </c>
      <c r="X15" s="25">
        <v>92550</v>
      </c>
      <c r="Y15" s="25">
        <v>799648</v>
      </c>
      <c r="Z15" s="25">
        <v>836133</v>
      </c>
      <c r="AA15" s="25">
        <v>316545</v>
      </c>
      <c r="AB15" s="25">
        <v>1477889</v>
      </c>
      <c r="AC15" s="55">
        <f>SUM(Q15:AB15)</f>
        <v>8068290</v>
      </c>
    </row>
    <row r="16" spans="1:29" ht="12.75">
      <c r="A16" s="1" t="s">
        <v>20</v>
      </c>
      <c r="B16" s="39">
        <f>SUM(B13:B15)</f>
        <v>53174</v>
      </c>
      <c r="C16" s="39"/>
      <c r="D16" s="53"/>
      <c r="E16" s="39">
        <f aca="true" t="shared" si="2" ref="E16:N16">SUM(E13:E15)</f>
        <v>1109750</v>
      </c>
      <c r="F16" s="39">
        <f t="shared" si="2"/>
        <v>319102</v>
      </c>
      <c r="G16" s="39">
        <f t="shared" si="2"/>
        <v>784998</v>
      </c>
      <c r="H16" s="39">
        <f t="shared" si="2"/>
        <v>456900</v>
      </c>
      <c r="I16" s="39">
        <f t="shared" si="2"/>
        <v>1367687</v>
      </c>
      <c r="J16" s="39">
        <f t="shared" si="2"/>
        <v>2364511</v>
      </c>
      <c r="K16" s="39">
        <f t="shared" si="2"/>
        <v>2674393</v>
      </c>
      <c r="L16" s="39">
        <f t="shared" si="2"/>
        <v>2559717</v>
      </c>
      <c r="M16" s="39">
        <f t="shared" si="2"/>
        <v>2259442</v>
      </c>
      <c r="N16" s="39">
        <f t="shared" si="2"/>
        <v>13949674</v>
      </c>
      <c r="P16" s="1" t="s">
        <v>20</v>
      </c>
      <c r="Q16" s="39">
        <f>SUM(Q13:Q15)</f>
        <v>4843157</v>
      </c>
      <c r="R16" s="39">
        <f aca="true" t="shared" si="3" ref="R16:AC16">SUM(R13:R15)</f>
        <v>3556738</v>
      </c>
      <c r="S16" s="39">
        <f t="shared" si="3"/>
        <v>1738559</v>
      </c>
      <c r="T16" s="39">
        <f t="shared" si="3"/>
        <v>118372</v>
      </c>
      <c r="U16" s="39">
        <f t="shared" si="3"/>
        <v>1417126</v>
      </c>
      <c r="V16" s="39">
        <f t="shared" si="3"/>
        <v>422736</v>
      </c>
      <c r="W16" s="39">
        <f t="shared" si="3"/>
        <v>418044</v>
      </c>
      <c r="X16" s="39">
        <f t="shared" si="3"/>
        <v>486040</v>
      </c>
      <c r="Y16" s="39">
        <f t="shared" si="3"/>
        <v>1116310</v>
      </c>
      <c r="Z16" s="39">
        <f t="shared" si="3"/>
        <v>4140923</v>
      </c>
      <c r="AA16" s="39">
        <f t="shared" si="3"/>
        <v>3601168</v>
      </c>
      <c r="AB16" s="39">
        <f t="shared" si="3"/>
        <v>3982830</v>
      </c>
      <c r="AC16" s="39">
        <f t="shared" si="3"/>
        <v>25842003</v>
      </c>
    </row>
    <row r="17" spans="1:16" ht="12.75">
      <c r="A17" s="5" t="s">
        <v>24</v>
      </c>
      <c r="P17" s="5" t="s">
        <v>24</v>
      </c>
    </row>
    <row r="19" spans="1:16" ht="12.75">
      <c r="A19" t="s">
        <v>99</v>
      </c>
      <c r="P19" t="s">
        <v>100</v>
      </c>
    </row>
    <row r="20" spans="1:16" ht="12.75">
      <c r="A20" t="s">
        <v>32</v>
      </c>
      <c r="P20" t="s">
        <v>32</v>
      </c>
    </row>
    <row r="21" spans="1:29" ht="12.75">
      <c r="A21" s="1" t="s">
        <v>21</v>
      </c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K21" s="2" t="s">
        <v>28</v>
      </c>
      <c r="L21" s="2" t="s">
        <v>29</v>
      </c>
      <c r="M21" s="2" t="s">
        <v>30</v>
      </c>
      <c r="N21" s="6" t="s">
        <v>25</v>
      </c>
      <c r="P21" s="1" t="s">
        <v>21</v>
      </c>
      <c r="Q21" s="2" t="s">
        <v>0</v>
      </c>
      <c r="R21" s="2" t="s">
        <v>1</v>
      </c>
      <c r="S21" s="2" t="s">
        <v>2</v>
      </c>
      <c r="T21" s="2" t="s">
        <v>3</v>
      </c>
      <c r="U21" s="2" t="s">
        <v>4</v>
      </c>
      <c r="V21" s="2" t="s">
        <v>5</v>
      </c>
      <c r="W21" s="2" t="s">
        <v>6</v>
      </c>
      <c r="X21" s="2" t="s">
        <v>7</v>
      </c>
      <c r="Y21" s="2" t="s">
        <v>8</v>
      </c>
      <c r="Z21" s="2" t="s">
        <v>28</v>
      </c>
      <c r="AA21" s="2" t="s">
        <v>29</v>
      </c>
      <c r="AB21" s="2" t="s">
        <v>30</v>
      </c>
      <c r="AC21" s="6" t="s">
        <v>25</v>
      </c>
    </row>
    <row r="22" spans="1:29" ht="12.75">
      <c r="A22" s="4" t="s">
        <v>101</v>
      </c>
      <c r="B22" s="81"/>
      <c r="C22" s="82"/>
      <c r="D22" s="83"/>
      <c r="E22" s="81"/>
      <c r="F22" s="81"/>
      <c r="G22" s="81"/>
      <c r="H22" s="81"/>
      <c r="I22" s="81"/>
      <c r="J22" s="81"/>
      <c r="K22" s="81"/>
      <c r="L22" s="81"/>
      <c r="M22" s="81"/>
      <c r="N22" s="70"/>
      <c r="P22" s="4" t="s">
        <v>101</v>
      </c>
      <c r="Q22" s="87"/>
      <c r="R22" s="87"/>
      <c r="S22" s="87"/>
      <c r="T22" s="87">
        <f>T13/T4</f>
        <v>3118.625</v>
      </c>
      <c r="U22" s="87"/>
      <c r="V22" s="87"/>
      <c r="W22" s="87"/>
      <c r="X22" s="87">
        <f>X13/X4</f>
        <v>4718.8</v>
      </c>
      <c r="Y22" s="87"/>
      <c r="Z22" s="87">
        <f>Z13/Z4</f>
        <v>5412</v>
      </c>
      <c r="AA22" s="87"/>
      <c r="AB22" s="87">
        <f>AB13/AB4</f>
        <v>6619.25</v>
      </c>
      <c r="AC22" s="87">
        <f>AC13/AC4</f>
        <v>4562.8</v>
      </c>
    </row>
    <row r="23" spans="1:29" ht="12.75">
      <c r="A23" s="4" t="s">
        <v>102</v>
      </c>
      <c r="B23" s="81"/>
      <c r="C23" s="81"/>
      <c r="D23" s="84"/>
      <c r="E23" s="81"/>
      <c r="F23" s="81"/>
      <c r="G23" s="81"/>
      <c r="H23" s="81"/>
      <c r="I23" s="81"/>
      <c r="J23" s="81">
        <f aca="true" t="shared" si="4" ref="J23:L24">J14/J5</f>
        <v>2495.85447761194</v>
      </c>
      <c r="K23" s="81">
        <f t="shared" si="4"/>
        <v>2454.315789473684</v>
      </c>
      <c r="L23" s="81">
        <f t="shared" si="4"/>
        <v>1750.5019920318725</v>
      </c>
      <c r="M23" s="81"/>
      <c r="N23" s="71">
        <f>N14/N5</f>
        <v>2020.6248415716095</v>
      </c>
      <c r="P23" s="4" t="s">
        <v>102</v>
      </c>
      <c r="Q23" s="87">
        <f aca="true" t="shared" si="5" ref="Q23:AC25">Q14/Q5</f>
        <v>2075.7002141327625</v>
      </c>
      <c r="R23" s="87">
        <f t="shared" si="5"/>
        <v>2172.376757957069</v>
      </c>
      <c r="S23" s="87">
        <f t="shared" si="5"/>
        <v>1831.990516332982</v>
      </c>
      <c r="T23" s="87">
        <f t="shared" si="5"/>
        <v>1245.64</v>
      </c>
      <c r="U23" s="87">
        <f t="shared" si="5"/>
        <v>1196.7070707070707</v>
      </c>
      <c r="V23" s="87">
        <f t="shared" si="5"/>
        <v>1295.64</v>
      </c>
      <c r="W23" s="87"/>
      <c r="X23" s="87">
        <f t="shared" si="5"/>
        <v>1643.9822222222222</v>
      </c>
      <c r="Y23" s="87">
        <f t="shared" si="5"/>
        <v>1769.0614525139665</v>
      </c>
      <c r="Z23" s="87">
        <f t="shared" si="5"/>
        <v>2332.30780141844</v>
      </c>
      <c r="AA23" s="87">
        <f t="shared" si="5"/>
        <v>2262.1370523415976</v>
      </c>
      <c r="AB23" s="87">
        <f t="shared" si="5"/>
        <v>2275.908172635445</v>
      </c>
      <c r="AC23" s="87">
        <f t="shared" si="5"/>
        <v>2116.645559013646</v>
      </c>
    </row>
    <row r="24" spans="1:29" ht="12.75">
      <c r="A24" s="4" t="s">
        <v>103</v>
      </c>
      <c r="B24" s="81">
        <f>B15/B6</f>
        <v>2417</v>
      </c>
      <c r="C24" s="85"/>
      <c r="D24" s="84"/>
      <c r="E24" s="81">
        <f>E15/E6</f>
        <v>2219.5</v>
      </c>
      <c r="F24" s="81">
        <f>F15/F6</f>
        <v>2215.9861111111113</v>
      </c>
      <c r="G24" s="81">
        <f>G15/G6</f>
        <v>2242.8514285714286</v>
      </c>
      <c r="H24" s="81">
        <f>H15/H6</f>
        <v>2284.5</v>
      </c>
      <c r="I24" s="81">
        <f>I15/I6</f>
        <v>2374.456597222222</v>
      </c>
      <c r="J24" s="81">
        <f t="shared" si="4"/>
        <v>2394.946327683616</v>
      </c>
      <c r="K24" s="81">
        <f t="shared" si="4"/>
        <v>2419.669429097606</v>
      </c>
      <c r="L24" s="81">
        <f t="shared" si="4"/>
        <v>2479.2994100294986</v>
      </c>
      <c r="M24" s="81">
        <f>M15/M6</f>
        <v>2477.4583333333335</v>
      </c>
      <c r="N24" s="73">
        <f>N15/N6</f>
        <v>2387.0558346213293</v>
      </c>
      <c r="P24" s="4" t="s">
        <v>103</v>
      </c>
      <c r="Q24" s="87">
        <f t="shared" si="5"/>
        <v>1707.944395410415</v>
      </c>
      <c r="R24" s="87">
        <f t="shared" si="5"/>
        <v>1694.433242506812</v>
      </c>
      <c r="S24" s="87"/>
      <c r="T24" s="87"/>
      <c r="U24" s="87">
        <f t="shared" si="5"/>
        <v>2484.5852631578946</v>
      </c>
      <c r="V24" s="87">
        <f t="shared" si="5"/>
        <v>2602.3</v>
      </c>
      <c r="W24" s="87">
        <f t="shared" si="5"/>
        <v>2223.6382978723404</v>
      </c>
      <c r="X24" s="87">
        <f t="shared" si="5"/>
        <v>3702</v>
      </c>
      <c r="Y24" s="87">
        <f t="shared" si="5"/>
        <v>2475.69040247678</v>
      </c>
      <c r="Z24" s="87">
        <f t="shared" si="5"/>
        <v>2596.686335403727</v>
      </c>
      <c r="AA24" s="87">
        <f t="shared" si="5"/>
        <v>2344.777777777778</v>
      </c>
      <c r="AB24" s="87">
        <f t="shared" si="5"/>
        <v>2368.411858974359</v>
      </c>
      <c r="AC24" s="87">
        <f t="shared" si="5"/>
        <v>2156.1437733832176</v>
      </c>
    </row>
    <row r="25" spans="1:29" ht="12.75">
      <c r="A25" s="1" t="s">
        <v>20</v>
      </c>
      <c r="B25" s="86">
        <f aca="true" t="shared" si="6" ref="B25:N25">B16/B7</f>
        <v>2417</v>
      </c>
      <c r="C25" s="86"/>
      <c r="D25" s="86"/>
      <c r="E25" s="86">
        <f t="shared" si="6"/>
        <v>2219.5</v>
      </c>
      <c r="F25" s="86">
        <f t="shared" si="6"/>
        <v>2215.9861111111113</v>
      </c>
      <c r="G25" s="86">
        <f t="shared" si="6"/>
        <v>2242.8514285714286</v>
      </c>
      <c r="H25" s="86">
        <f t="shared" si="6"/>
        <v>2284.5</v>
      </c>
      <c r="I25" s="86">
        <f t="shared" si="6"/>
        <v>2374.456597222222</v>
      </c>
      <c r="J25" s="86">
        <f t="shared" si="6"/>
        <v>2422.654713114754</v>
      </c>
      <c r="K25" s="86">
        <f t="shared" si="6"/>
        <v>2420.265158371041</v>
      </c>
      <c r="L25" s="86">
        <f t="shared" si="6"/>
        <v>2169.251694915254</v>
      </c>
      <c r="M25" s="86">
        <f t="shared" si="6"/>
        <v>2477.4583333333335</v>
      </c>
      <c r="N25" s="74">
        <f t="shared" si="6"/>
        <v>2338.58742665549</v>
      </c>
      <c r="P25" s="1" t="s">
        <v>20</v>
      </c>
      <c r="Q25" s="88">
        <f t="shared" si="5"/>
        <v>1911.2695343330702</v>
      </c>
      <c r="R25" s="88">
        <f t="shared" si="5"/>
        <v>2070.278230500582</v>
      </c>
      <c r="S25" s="88">
        <f t="shared" si="5"/>
        <v>1831.990516332982</v>
      </c>
      <c r="T25" s="88">
        <f t="shared" si="5"/>
        <v>1426.1686746987953</v>
      </c>
      <c r="U25" s="88">
        <f t="shared" si="5"/>
        <v>2105.6849925705797</v>
      </c>
      <c r="V25" s="88">
        <f t="shared" si="5"/>
        <v>2415.634285714286</v>
      </c>
      <c r="W25" s="88">
        <f t="shared" si="5"/>
        <v>2223.6382978723404</v>
      </c>
      <c r="X25" s="88">
        <f t="shared" si="5"/>
        <v>1906.0392156862745</v>
      </c>
      <c r="Y25" s="88">
        <f t="shared" si="5"/>
        <v>2223.7250996015937</v>
      </c>
      <c r="Z25" s="88">
        <f t="shared" si="5"/>
        <v>2386.699135446686</v>
      </c>
      <c r="AA25" s="88">
        <f t="shared" si="5"/>
        <v>2269.166981726528</v>
      </c>
      <c r="AB25" s="88">
        <f t="shared" si="5"/>
        <v>2319.6447291788004</v>
      </c>
      <c r="AC25" s="88">
        <f t="shared" si="5"/>
        <v>2132.8823869263783</v>
      </c>
    </row>
    <row r="26" spans="1:16" ht="12.75">
      <c r="A26" s="5" t="s">
        <v>24</v>
      </c>
      <c r="P26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93</v>
      </c>
      <c r="P1" t="s">
        <v>95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</row>
    <row r="4" spans="1:29" ht="12.75">
      <c r="A4" s="4" t="s">
        <v>17</v>
      </c>
      <c r="B4" s="8">
        <v>4111.969</v>
      </c>
      <c r="C4" s="8">
        <v>3247.765</v>
      </c>
      <c r="D4" s="8">
        <v>2557.291</v>
      </c>
      <c r="E4" s="8">
        <v>2938.246</v>
      </c>
      <c r="F4" s="8">
        <v>2537.297</v>
      </c>
      <c r="G4" s="8">
        <v>1849.236</v>
      </c>
      <c r="H4" s="8">
        <v>3276.691</v>
      </c>
      <c r="I4" s="8">
        <v>4151.545</v>
      </c>
      <c r="J4" s="8">
        <v>6153.952</v>
      </c>
      <c r="K4" s="8">
        <v>5256</v>
      </c>
      <c r="L4" s="8">
        <v>8100</v>
      </c>
      <c r="M4" s="8">
        <v>8414</v>
      </c>
      <c r="N4" s="8">
        <f>SUM(B4:M4)</f>
        <v>52593.992</v>
      </c>
      <c r="P4" s="4" t="s">
        <v>17</v>
      </c>
      <c r="Q4" s="8">
        <v>105.886</v>
      </c>
      <c r="R4" s="8">
        <v>21.997</v>
      </c>
      <c r="S4" s="8">
        <v>47.494</v>
      </c>
      <c r="T4" s="8">
        <v>2.504</v>
      </c>
      <c r="U4" s="8"/>
      <c r="V4" s="8">
        <v>23</v>
      </c>
      <c r="W4" s="8">
        <v>48.004</v>
      </c>
      <c r="X4" s="8">
        <v>114</v>
      </c>
      <c r="Y4" s="8">
        <v>351.999</v>
      </c>
      <c r="Z4" s="8">
        <v>507</v>
      </c>
      <c r="AA4" s="8">
        <v>608</v>
      </c>
      <c r="AB4" s="8">
        <v>626</v>
      </c>
      <c r="AC4" s="8">
        <f>SUM(Q4:AB4)</f>
        <v>2455.884</v>
      </c>
    </row>
    <row r="5" spans="1:29" ht="12.75">
      <c r="A5" s="4" t="s">
        <v>82</v>
      </c>
      <c r="B5" s="8">
        <v>6401.388</v>
      </c>
      <c r="C5" s="8">
        <v>6110.486</v>
      </c>
      <c r="D5" s="8">
        <v>5860.043</v>
      </c>
      <c r="E5" s="8">
        <v>5376.335</v>
      </c>
      <c r="F5" s="8">
        <v>5576.924</v>
      </c>
      <c r="G5" s="8">
        <v>5303.716</v>
      </c>
      <c r="H5" s="8">
        <v>5379.892</v>
      </c>
      <c r="I5" s="8">
        <v>7383.313</v>
      </c>
      <c r="J5" s="8">
        <v>7621.518</v>
      </c>
      <c r="K5" s="8">
        <v>1854</v>
      </c>
      <c r="L5" s="8"/>
      <c r="M5" s="8"/>
      <c r="N5" s="8">
        <f>SUM(B5:M5)</f>
        <v>56867.615000000005</v>
      </c>
      <c r="P5" s="4" t="s">
        <v>82</v>
      </c>
      <c r="Q5" s="8">
        <v>742.028</v>
      </c>
      <c r="R5" s="8">
        <v>740.037</v>
      </c>
      <c r="S5" s="8">
        <v>1049.191</v>
      </c>
      <c r="T5" s="8">
        <v>1200.191</v>
      </c>
      <c r="U5" s="8">
        <v>722.636</v>
      </c>
      <c r="V5" s="8">
        <v>298.766</v>
      </c>
      <c r="W5" s="8">
        <v>318.999</v>
      </c>
      <c r="X5" s="8">
        <v>937.052</v>
      </c>
      <c r="Y5" s="8">
        <v>800.862</v>
      </c>
      <c r="Z5" s="8">
        <v>297</v>
      </c>
      <c r="AA5" s="8"/>
      <c r="AB5" s="8"/>
      <c r="AC5" s="8">
        <f>SUM(Q5:AB5)</f>
        <v>7106.762</v>
      </c>
    </row>
    <row r="6" spans="1:29" ht="12.75">
      <c r="A6" s="4" t="s">
        <v>83</v>
      </c>
      <c r="B6" s="8">
        <v>805.4</v>
      </c>
      <c r="C6" s="8">
        <v>1210.042</v>
      </c>
      <c r="D6" s="8">
        <v>1142.893</v>
      </c>
      <c r="E6" s="8">
        <v>1499.865</v>
      </c>
      <c r="F6" s="8">
        <v>1858.452</v>
      </c>
      <c r="G6" s="8">
        <v>1409.007</v>
      </c>
      <c r="H6" s="8">
        <v>1831.862</v>
      </c>
      <c r="I6" s="8">
        <v>1822.451</v>
      </c>
      <c r="J6" s="8">
        <v>1866.594</v>
      </c>
      <c r="K6" s="8">
        <v>1468</v>
      </c>
      <c r="L6" s="8">
        <v>2116</v>
      </c>
      <c r="M6" s="8">
        <v>2222</v>
      </c>
      <c r="N6" s="8">
        <f>SUM(B6:M6)</f>
        <v>19252.566000000003</v>
      </c>
      <c r="P6" s="4" t="s">
        <v>83</v>
      </c>
      <c r="Q6" s="8">
        <v>18.722</v>
      </c>
      <c r="R6" s="8">
        <v>23.064</v>
      </c>
      <c r="S6" s="8">
        <v>11.877</v>
      </c>
      <c r="T6" s="8"/>
      <c r="U6" s="8"/>
      <c r="V6" s="8"/>
      <c r="W6" s="8">
        <v>24.505</v>
      </c>
      <c r="X6" s="8">
        <v>50.588</v>
      </c>
      <c r="Y6" s="8">
        <v>25.011</v>
      </c>
      <c r="Z6" s="8"/>
      <c r="AA6" s="8">
        <v>24</v>
      </c>
      <c r="AB6" s="8">
        <v>49</v>
      </c>
      <c r="AC6" s="8">
        <f>SUM(Q6:AB6)</f>
        <v>226.767</v>
      </c>
    </row>
    <row r="7" spans="1:29" ht="12.75">
      <c r="A7" s="4" t="s">
        <v>16</v>
      </c>
      <c r="B7" s="8"/>
      <c r="C7" s="8"/>
      <c r="D7" s="8"/>
      <c r="E7" s="8"/>
      <c r="F7" s="8"/>
      <c r="G7" s="8">
        <v>20.903</v>
      </c>
      <c r="H7" s="8">
        <v>111.999</v>
      </c>
      <c r="I7" s="8">
        <v>244.778</v>
      </c>
      <c r="J7" s="8">
        <v>177.992</v>
      </c>
      <c r="K7" s="8">
        <v>88</v>
      </c>
      <c r="L7" s="8">
        <v>491</v>
      </c>
      <c r="M7" s="8">
        <v>1356</v>
      </c>
      <c r="N7" s="8">
        <f>SUM(B7:M7)</f>
        <v>2490.672</v>
      </c>
      <c r="P7" s="4" t="s">
        <v>16</v>
      </c>
      <c r="Q7" s="8"/>
      <c r="R7" s="8"/>
      <c r="S7" s="8"/>
      <c r="T7" s="8"/>
      <c r="U7" s="8"/>
      <c r="V7" s="8"/>
      <c r="W7" s="8"/>
      <c r="X7" s="8"/>
      <c r="Y7" s="8">
        <v>49.607</v>
      </c>
      <c r="Z7" s="8">
        <v>186</v>
      </c>
      <c r="AA7" s="8">
        <v>46</v>
      </c>
      <c r="AB7" s="8">
        <v>210</v>
      </c>
      <c r="AC7" s="8">
        <f>SUM(Q7:AB7)</f>
        <v>491.60699999999997</v>
      </c>
    </row>
    <row r="8" spans="1:29" ht="12.75">
      <c r="A8" s="4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4" t="s">
        <v>18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4" t="s">
        <v>19</v>
      </c>
      <c r="B9" s="8"/>
      <c r="C9" s="2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4" t="s">
        <v>19</v>
      </c>
      <c r="Q9" s="8"/>
      <c r="R9" s="25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2.75">
      <c r="A10" s="1" t="s">
        <v>20</v>
      </c>
      <c r="B10" s="10">
        <f aca="true" t="shared" si="0" ref="B10:M10">SUM(B4:B9)</f>
        <v>11318.757</v>
      </c>
      <c r="C10" s="10">
        <f t="shared" si="0"/>
        <v>10568.293</v>
      </c>
      <c r="D10" s="10">
        <f t="shared" si="0"/>
        <v>9560.226999999999</v>
      </c>
      <c r="E10" s="10">
        <f t="shared" si="0"/>
        <v>9814.446</v>
      </c>
      <c r="F10" s="10">
        <f t="shared" si="0"/>
        <v>9972.672999999999</v>
      </c>
      <c r="G10" s="10">
        <f t="shared" si="0"/>
        <v>8582.862000000001</v>
      </c>
      <c r="H10" s="10">
        <f t="shared" si="0"/>
        <v>10600.444</v>
      </c>
      <c r="I10" s="10">
        <f t="shared" si="0"/>
        <v>13602.087000000001</v>
      </c>
      <c r="J10" s="10">
        <f t="shared" si="0"/>
        <v>15820.056000000002</v>
      </c>
      <c r="K10" s="10">
        <f t="shared" si="0"/>
        <v>8666</v>
      </c>
      <c r="L10" s="10">
        <f t="shared" si="0"/>
        <v>10707</v>
      </c>
      <c r="M10" s="10">
        <f t="shared" si="0"/>
        <v>11992</v>
      </c>
      <c r="N10" s="10">
        <f>SUM(N4:N9)</f>
        <v>131204.845</v>
      </c>
      <c r="P10" s="1" t="s">
        <v>20</v>
      </c>
      <c r="Q10" s="10">
        <f aca="true" t="shared" si="1" ref="Q10:AC10">SUM(Q4:Q9)</f>
        <v>866.636</v>
      </c>
      <c r="R10" s="10">
        <f t="shared" si="1"/>
        <v>785.098</v>
      </c>
      <c r="S10" s="10">
        <f t="shared" si="1"/>
        <v>1108.562</v>
      </c>
      <c r="T10" s="10">
        <f t="shared" si="1"/>
        <v>1202.695</v>
      </c>
      <c r="U10" s="10">
        <f t="shared" si="1"/>
        <v>722.636</v>
      </c>
      <c r="V10" s="10">
        <f t="shared" si="1"/>
        <v>321.766</v>
      </c>
      <c r="W10" s="10">
        <f t="shared" si="1"/>
        <v>391.50800000000004</v>
      </c>
      <c r="X10" s="10">
        <f t="shared" si="1"/>
        <v>1101.64</v>
      </c>
      <c r="Y10" s="10">
        <f t="shared" si="1"/>
        <v>1227.4789999999998</v>
      </c>
      <c r="Z10" s="10">
        <f t="shared" si="1"/>
        <v>990</v>
      </c>
      <c r="AA10" s="10">
        <f t="shared" si="1"/>
        <v>678</v>
      </c>
      <c r="AB10" s="10">
        <f t="shared" si="1"/>
        <v>885</v>
      </c>
      <c r="AC10" s="10">
        <f t="shared" si="1"/>
        <v>10281.02</v>
      </c>
    </row>
    <row r="11" spans="1:16" ht="12.75">
      <c r="A11" s="5" t="s">
        <v>94</v>
      </c>
      <c r="P11" s="5" t="s">
        <v>94</v>
      </c>
    </row>
    <row r="13" spans="1:16" ht="12.75">
      <c r="A13" t="s">
        <v>93</v>
      </c>
      <c r="P13" t="s">
        <v>95</v>
      </c>
    </row>
    <row r="14" spans="1:16" ht="12.75">
      <c r="A14" t="s">
        <v>31</v>
      </c>
      <c r="P14" t="s">
        <v>31</v>
      </c>
    </row>
    <row r="15" spans="1:29" ht="12.75">
      <c r="A15" s="1" t="s">
        <v>21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  <c r="K15" s="2" t="s">
        <v>28</v>
      </c>
      <c r="L15" s="2" t="s">
        <v>29</v>
      </c>
      <c r="M15" s="2" t="s">
        <v>30</v>
      </c>
      <c r="N15" s="6" t="s">
        <v>25</v>
      </c>
      <c r="P15" s="1" t="s">
        <v>21</v>
      </c>
      <c r="Q15" s="2" t="s">
        <v>0</v>
      </c>
      <c r="R15" s="2" t="s">
        <v>1</v>
      </c>
      <c r="S15" s="2" t="s">
        <v>2</v>
      </c>
      <c r="T15" s="2" t="s">
        <v>3</v>
      </c>
      <c r="U15" s="2" t="s">
        <v>4</v>
      </c>
      <c r="V15" s="2" t="s">
        <v>5</v>
      </c>
      <c r="W15" s="2" t="s">
        <v>6</v>
      </c>
      <c r="X15" s="2" t="s">
        <v>7</v>
      </c>
      <c r="Y15" s="2" t="s">
        <v>8</v>
      </c>
      <c r="Z15" s="2" t="s">
        <v>28</v>
      </c>
      <c r="AA15" s="2" t="s">
        <v>29</v>
      </c>
      <c r="AB15" s="2" t="s">
        <v>30</v>
      </c>
      <c r="AC15" s="6" t="s">
        <v>25</v>
      </c>
    </row>
    <row r="16" spans="1:29" ht="12.75">
      <c r="A16" s="4" t="s">
        <v>17</v>
      </c>
      <c r="B16" s="8">
        <v>7253706</v>
      </c>
      <c r="C16" s="8">
        <v>7131850</v>
      </c>
      <c r="D16" s="8">
        <v>5719156</v>
      </c>
      <c r="E16" s="8">
        <v>6501058</v>
      </c>
      <c r="F16" s="8">
        <v>5978512</v>
      </c>
      <c r="G16" s="8">
        <v>4334448</v>
      </c>
      <c r="H16" s="8">
        <v>7955209</v>
      </c>
      <c r="I16" s="8">
        <v>10727816</v>
      </c>
      <c r="J16" s="8">
        <v>15601139</v>
      </c>
      <c r="K16" s="8">
        <v>13279057</v>
      </c>
      <c r="L16" s="8">
        <v>22996479</v>
      </c>
      <c r="M16" s="8">
        <v>26200537</v>
      </c>
      <c r="N16" s="8">
        <f>SUM(B16:M16)</f>
        <v>133678967</v>
      </c>
      <c r="P16" s="4" t="s">
        <v>17</v>
      </c>
      <c r="Q16" s="8">
        <v>190642</v>
      </c>
      <c r="R16" s="8">
        <v>43031</v>
      </c>
      <c r="S16" s="8">
        <v>96370</v>
      </c>
      <c r="T16" s="8">
        <v>7538</v>
      </c>
      <c r="U16" s="8"/>
      <c r="V16" s="8">
        <v>56106</v>
      </c>
      <c r="W16" s="8">
        <v>108688</v>
      </c>
      <c r="X16" s="8">
        <v>212217</v>
      </c>
      <c r="Y16" s="8">
        <v>674472</v>
      </c>
      <c r="Z16" s="8">
        <v>949760</v>
      </c>
      <c r="AA16" s="8">
        <v>1110125</v>
      </c>
      <c r="AB16" s="8">
        <v>1240894</v>
      </c>
      <c r="AC16" s="8">
        <f>SUM(Q16:AB16)</f>
        <v>4689843</v>
      </c>
    </row>
    <row r="17" spans="1:29" ht="12.75">
      <c r="A17" s="4" t="s">
        <v>82</v>
      </c>
      <c r="B17" s="8">
        <v>13300475</v>
      </c>
      <c r="C17" s="8">
        <v>12886094</v>
      </c>
      <c r="D17" s="8">
        <v>12537512</v>
      </c>
      <c r="E17" s="8">
        <v>11960118</v>
      </c>
      <c r="F17" s="8">
        <v>12777648</v>
      </c>
      <c r="G17" s="8">
        <v>12443535</v>
      </c>
      <c r="H17" s="8">
        <v>12732899</v>
      </c>
      <c r="I17" s="8">
        <v>19007928</v>
      </c>
      <c r="J17" s="8">
        <v>20538191</v>
      </c>
      <c r="K17" s="8">
        <v>4871243</v>
      </c>
      <c r="L17" s="8"/>
      <c r="M17" s="8"/>
      <c r="N17" s="8">
        <f aca="true" t="shared" si="2" ref="N17:N22">SUM(B17:M17)</f>
        <v>133055643</v>
      </c>
      <c r="P17" s="4" t="s">
        <v>82</v>
      </c>
      <c r="Q17" s="8">
        <v>1175188</v>
      </c>
      <c r="R17" s="8">
        <v>1213276</v>
      </c>
      <c r="S17" s="8">
        <v>1713584</v>
      </c>
      <c r="T17" s="8">
        <v>1999583</v>
      </c>
      <c r="U17" s="8">
        <v>1251010</v>
      </c>
      <c r="V17" s="8">
        <v>649954</v>
      </c>
      <c r="W17" s="8">
        <v>681946</v>
      </c>
      <c r="X17" s="8">
        <v>1841921</v>
      </c>
      <c r="Y17" s="8">
        <v>1751368</v>
      </c>
      <c r="Z17" s="8">
        <v>669852</v>
      </c>
      <c r="AA17" s="8"/>
      <c r="AB17" s="8"/>
      <c r="AC17" s="8">
        <f>SUM(Q17:AB17)</f>
        <v>12947682</v>
      </c>
    </row>
    <row r="18" spans="1:29" ht="12.75">
      <c r="A18" s="4" t="s">
        <v>83</v>
      </c>
      <c r="B18" s="8">
        <v>1930860</v>
      </c>
      <c r="C18" s="8">
        <v>2847648</v>
      </c>
      <c r="D18" s="8">
        <v>2716727</v>
      </c>
      <c r="E18" s="8">
        <v>3698506</v>
      </c>
      <c r="F18" s="8">
        <v>4747092</v>
      </c>
      <c r="G18" s="8">
        <v>3574815</v>
      </c>
      <c r="H18" s="8">
        <v>4702978</v>
      </c>
      <c r="I18" s="8">
        <v>4982772</v>
      </c>
      <c r="J18" s="8">
        <v>5046817</v>
      </c>
      <c r="K18" s="8">
        <v>3958026</v>
      </c>
      <c r="L18" s="8">
        <v>6360408</v>
      </c>
      <c r="M18" s="8">
        <v>6882145</v>
      </c>
      <c r="N18" s="8">
        <f t="shared" si="2"/>
        <v>51448794</v>
      </c>
      <c r="P18" s="4" t="s">
        <v>83</v>
      </c>
      <c r="Q18" s="8">
        <v>27140</v>
      </c>
      <c r="R18" s="8">
        <v>33569</v>
      </c>
      <c r="S18" s="8">
        <v>17454</v>
      </c>
      <c r="T18" s="8"/>
      <c r="U18" s="8"/>
      <c r="V18" s="8"/>
      <c r="W18" s="8">
        <v>42960</v>
      </c>
      <c r="X18" s="8">
        <v>93621</v>
      </c>
      <c r="Y18" s="8">
        <v>40626</v>
      </c>
      <c r="Z18" s="8"/>
      <c r="AA18" s="8">
        <v>45815</v>
      </c>
      <c r="AB18" s="8">
        <v>90388</v>
      </c>
      <c r="AC18" s="8">
        <f>SUM(Q18:AB18)</f>
        <v>391573</v>
      </c>
    </row>
    <row r="19" spans="1:29" ht="12.75">
      <c r="A19" s="4" t="s">
        <v>16</v>
      </c>
      <c r="B19" s="8"/>
      <c r="C19" s="8"/>
      <c r="D19" s="8"/>
      <c r="E19" s="8"/>
      <c r="F19" s="8"/>
      <c r="G19" s="8">
        <v>51426</v>
      </c>
      <c r="H19" s="8">
        <v>282932</v>
      </c>
      <c r="I19" s="8">
        <v>672013</v>
      </c>
      <c r="J19" s="8">
        <v>497194</v>
      </c>
      <c r="K19" s="8">
        <v>257264</v>
      </c>
      <c r="L19" s="8">
        <v>1438163</v>
      </c>
      <c r="M19" s="8">
        <v>4536626</v>
      </c>
      <c r="N19" s="8">
        <f t="shared" si="2"/>
        <v>7735618</v>
      </c>
      <c r="P19" s="4" t="s">
        <v>16</v>
      </c>
      <c r="Q19" s="8"/>
      <c r="R19" s="8"/>
      <c r="S19" s="8"/>
      <c r="T19" s="8"/>
      <c r="U19" s="8"/>
      <c r="V19" s="8"/>
      <c r="W19" s="8"/>
      <c r="X19" s="8"/>
      <c r="Y19" s="8">
        <v>128821</v>
      </c>
      <c r="Z19" s="8">
        <v>339181</v>
      </c>
      <c r="AA19" s="8">
        <v>84452</v>
      </c>
      <c r="AB19" s="8">
        <v>516546</v>
      </c>
      <c r="AC19" s="8">
        <f>SUM(Q19:AB19)</f>
        <v>1069000</v>
      </c>
    </row>
    <row r="20" spans="1:29" ht="12.75">
      <c r="A20" s="4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P20" s="4" t="s">
        <v>18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2.75">
      <c r="A21" s="4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P21" s="4" t="s">
        <v>19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2.75">
      <c r="A22" s="1" t="s">
        <v>20</v>
      </c>
      <c r="B22" s="10">
        <f aca="true" t="shared" si="3" ref="B22:M22">SUM(B16:B21)</f>
        <v>22485041</v>
      </c>
      <c r="C22" s="10">
        <f t="shared" si="3"/>
        <v>22865592</v>
      </c>
      <c r="D22" s="10">
        <f t="shared" si="3"/>
        <v>20973395</v>
      </c>
      <c r="E22" s="10">
        <f t="shared" si="3"/>
        <v>22159682</v>
      </c>
      <c r="F22" s="10">
        <f t="shared" si="3"/>
        <v>23503252</v>
      </c>
      <c r="G22" s="10">
        <f t="shared" si="3"/>
        <v>20404224</v>
      </c>
      <c r="H22" s="10">
        <f t="shared" si="3"/>
        <v>25674018</v>
      </c>
      <c r="I22" s="10">
        <f t="shared" si="3"/>
        <v>35390529</v>
      </c>
      <c r="J22" s="10">
        <f t="shared" si="3"/>
        <v>41683341</v>
      </c>
      <c r="K22" s="10">
        <f t="shared" si="3"/>
        <v>22365590</v>
      </c>
      <c r="L22" s="10">
        <f t="shared" si="3"/>
        <v>30795050</v>
      </c>
      <c r="M22" s="10">
        <f t="shared" si="3"/>
        <v>37619308</v>
      </c>
      <c r="N22" s="10">
        <f t="shared" si="2"/>
        <v>325919022</v>
      </c>
      <c r="P22" s="1" t="s">
        <v>20</v>
      </c>
      <c r="Q22" s="10">
        <f aca="true" t="shared" si="4" ref="Q22:AC22">SUM(Q16:Q21)</f>
        <v>1392970</v>
      </c>
      <c r="R22" s="10">
        <f t="shared" si="4"/>
        <v>1289876</v>
      </c>
      <c r="S22" s="10">
        <f t="shared" si="4"/>
        <v>1827408</v>
      </c>
      <c r="T22" s="10">
        <f t="shared" si="4"/>
        <v>2007121</v>
      </c>
      <c r="U22" s="10">
        <f t="shared" si="4"/>
        <v>1251010</v>
      </c>
      <c r="V22" s="10">
        <f t="shared" si="4"/>
        <v>706060</v>
      </c>
      <c r="W22" s="10">
        <f t="shared" si="4"/>
        <v>833594</v>
      </c>
      <c r="X22" s="10">
        <f t="shared" si="4"/>
        <v>2147759</v>
      </c>
      <c r="Y22" s="10">
        <f t="shared" si="4"/>
        <v>2595287</v>
      </c>
      <c r="Z22" s="10">
        <f t="shared" si="4"/>
        <v>1958793</v>
      </c>
      <c r="AA22" s="10">
        <f t="shared" si="4"/>
        <v>1240392</v>
      </c>
      <c r="AB22" s="10">
        <f t="shared" si="4"/>
        <v>1847828</v>
      </c>
      <c r="AC22" s="10">
        <f t="shared" si="4"/>
        <v>19098098</v>
      </c>
    </row>
    <row r="23" spans="1:16" ht="12.75">
      <c r="A23" s="5" t="s">
        <v>94</v>
      </c>
      <c r="P23" s="5" t="s">
        <v>94</v>
      </c>
    </row>
    <row r="25" spans="1:16" ht="12.75">
      <c r="A25" t="s">
        <v>93</v>
      </c>
      <c r="P25" t="s">
        <v>95</v>
      </c>
    </row>
    <row r="26" spans="1:16" ht="12.75">
      <c r="A26" t="s">
        <v>32</v>
      </c>
      <c r="P26" t="s">
        <v>32</v>
      </c>
    </row>
    <row r="27" spans="1:29" ht="12.75">
      <c r="A27" s="1" t="s">
        <v>21</v>
      </c>
      <c r="B27" s="2" t="s">
        <v>0</v>
      </c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2" t="s">
        <v>8</v>
      </c>
      <c r="K27" s="2" t="s">
        <v>28</v>
      </c>
      <c r="L27" s="2" t="s">
        <v>29</v>
      </c>
      <c r="M27" s="2" t="s">
        <v>30</v>
      </c>
      <c r="N27" s="6" t="s">
        <v>25</v>
      </c>
      <c r="P27" s="1" t="s">
        <v>21</v>
      </c>
      <c r="Q27" s="2" t="s">
        <v>0</v>
      </c>
      <c r="R27" s="2" t="s">
        <v>1</v>
      </c>
      <c r="S27" s="2" t="s">
        <v>2</v>
      </c>
      <c r="T27" s="2" t="s">
        <v>3</v>
      </c>
      <c r="U27" s="2" t="s">
        <v>4</v>
      </c>
      <c r="V27" s="2" t="s">
        <v>5</v>
      </c>
      <c r="W27" s="2" t="s">
        <v>6</v>
      </c>
      <c r="X27" s="2" t="s">
        <v>7</v>
      </c>
      <c r="Y27" s="2" t="s">
        <v>8</v>
      </c>
      <c r="Z27" s="2" t="s">
        <v>28</v>
      </c>
      <c r="AA27" s="2" t="s">
        <v>29</v>
      </c>
      <c r="AB27" s="2" t="s">
        <v>30</v>
      </c>
      <c r="AC27" s="6" t="s">
        <v>25</v>
      </c>
    </row>
    <row r="28" spans="1:29" ht="12.75">
      <c r="A28" s="4" t="s">
        <v>17</v>
      </c>
      <c r="B28" s="15">
        <f aca="true" t="shared" si="5" ref="B28:M34">B16/B4</f>
        <v>1764.0468593026844</v>
      </c>
      <c r="C28" s="15">
        <f t="shared" si="5"/>
        <v>2195.925505693916</v>
      </c>
      <c r="D28" s="15">
        <f t="shared" si="5"/>
        <v>2236.4118905513683</v>
      </c>
      <c r="E28" s="15">
        <f t="shared" si="5"/>
        <v>2212.5642304966977</v>
      </c>
      <c r="F28" s="15">
        <f t="shared" si="5"/>
        <v>2356.252342551936</v>
      </c>
      <c r="G28" s="15">
        <f t="shared" si="5"/>
        <v>2343.912837517764</v>
      </c>
      <c r="H28" s="15">
        <f t="shared" si="5"/>
        <v>2427.8178809048522</v>
      </c>
      <c r="I28" s="15">
        <f t="shared" si="5"/>
        <v>2584.0538883716786</v>
      </c>
      <c r="J28" s="15">
        <f>J16/J4</f>
        <v>2535.141483066491</v>
      </c>
      <c r="K28" s="15">
        <f>K16/K4</f>
        <v>2526.4568112633183</v>
      </c>
      <c r="L28" s="15">
        <f>L16/L4</f>
        <v>2839.0714814814814</v>
      </c>
      <c r="M28" s="15">
        <f>M16/M4</f>
        <v>3113.921678155455</v>
      </c>
      <c r="N28" s="15">
        <f aca="true" t="shared" si="6" ref="N28:N34">N16/N4</f>
        <v>2541.7155442393496</v>
      </c>
      <c r="P28" s="4" t="s">
        <v>17</v>
      </c>
      <c r="Q28" s="15">
        <f aca="true" t="shared" si="7" ref="Q28:AB28">Q16/Q4</f>
        <v>1800.4457624237389</v>
      </c>
      <c r="R28" s="15">
        <f t="shared" si="7"/>
        <v>1956.2213029049417</v>
      </c>
      <c r="S28" s="15">
        <f t="shared" si="7"/>
        <v>2029.098412431044</v>
      </c>
      <c r="T28" s="15">
        <f t="shared" si="7"/>
        <v>3010.3833865814695</v>
      </c>
      <c r="U28" s="15" t="e">
        <f t="shared" si="7"/>
        <v>#DIV/0!</v>
      </c>
      <c r="V28" s="15">
        <f t="shared" si="7"/>
        <v>2439.391304347826</v>
      </c>
      <c r="W28" s="15">
        <f t="shared" si="7"/>
        <v>2264.1446546121156</v>
      </c>
      <c r="X28" s="15">
        <f t="shared" si="7"/>
        <v>1861.5526315789473</v>
      </c>
      <c r="Y28" s="15">
        <f t="shared" si="7"/>
        <v>1916.1190798837495</v>
      </c>
      <c r="Z28" s="15">
        <f t="shared" si="7"/>
        <v>1873.2938856015778</v>
      </c>
      <c r="AA28" s="15">
        <f t="shared" si="7"/>
        <v>1825.8634868421052</v>
      </c>
      <c r="AB28" s="15">
        <f t="shared" si="7"/>
        <v>1982.258785942492</v>
      </c>
      <c r="AC28" s="15">
        <f aca="true" t="shared" si="8" ref="AC28:AC34">AC16/AC4</f>
        <v>1909.6353899451276</v>
      </c>
    </row>
    <row r="29" spans="1:29" ht="12.75">
      <c r="A29" s="4" t="s">
        <v>82</v>
      </c>
      <c r="B29" s="15">
        <f t="shared" si="5"/>
        <v>2077.7486070208524</v>
      </c>
      <c r="C29" s="15">
        <f t="shared" si="5"/>
        <v>2108.8492797463246</v>
      </c>
      <c r="D29" s="15">
        <f t="shared" si="5"/>
        <v>2139.4914678953724</v>
      </c>
      <c r="E29" s="15">
        <f t="shared" si="5"/>
        <v>2224.5857075498457</v>
      </c>
      <c r="F29" s="15">
        <f t="shared" si="5"/>
        <v>2291.1640897383577</v>
      </c>
      <c r="G29" s="15">
        <f t="shared" si="5"/>
        <v>2346.1918021251513</v>
      </c>
      <c r="H29" s="15">
        <f t="shared" si="5"/>
        <v>2366.757362415454</v>
      </c>
      <c r="I29" s="15">
        <f t="shared" si="5"/>
        <v>2574.444290794661</v>
      </c>
      <c r="J29" s="15">
        <f t="shared" si="5"/>
        <v>2694.763825264206</v>
      </c>
      <c r="K29" s="15">
        <f t="shared" si="5"/>
        <v>2627.423408845739</v>
      </c>
      <c r="L29" s="15"/>
      <c r="M29" s="15"/>
      <c r="N29" s="15">
        <f t="shared" si="6"/>
        <v>2339.7436836413835</v>
      </c>
      <c r="P29" s="4" t="s">
        <v>82</v>
      </c>
      <c r="Q29" s="15">
        <f aca="true" t="shared" si="9" ref="Q29:Z29">Q17/Q5</f>
        <v>1583.751556545036</v>
      </c>
      <c r="R29" s="15">
        <f t="shared" si="9"/>
        <v>1639.4801881527544</v>
      </c>
      <c r="S29" s="15">
        <f t="shared" si="9"/>
        <v>1633.2431368549674</v>
      </c>
      <c r="T29" s="15">
        <f t="shared" si="9"/>
        <v>1666.0539864071634</v>
      </c>
      <c r="U29" s="15">
        <f t="shared" si="9"/>
        <v>1731.1758617063088</v>
      </c>
      <c r="V29" s="15">
        <f t="shared" si="9"/>
        <v>2175.461732593401</v>
      </c>
      <c r="W29" s="15">
        <f t="shared" si="9"/>
        <v>2137.7684569544103</v>
      </c>
      <c r="X29" s="15">
        <f t="shared" si="9"/>
        <v>1965.6550543619778</v>
      </c>
      <c r="Y29" s="15">
        <f t="shared" si="9"/>
        <v>2186.853665175773</v>
      </c>
      <c r="Z29" s="15">
        <f t="shared" si="9"/>
        <v>2255.3939393939395</v>
      </c>
      <c r="AA29" s="15"/>
      <c r="AB29" s="15"/>
      <c r="AC29" s="15">
        <f t="shared" si="8"/>
        <v>1821.8820329145678</v>
      </c>
    </row>
    <row r="30" spans="1:29" ht="12.75">
      <c r="A30" s="4" t="s">
        <v>83</v>
      </c>
      <c r="B30" s="15">
        <f t="shared" si="5"/>
        <v>2397.3925999503354</v>
      </c>
      <c r="C30" s="15">
        <f t="shared" si="5"/>
        <v>2353.3464127691436</v>
      </c>
      <c r="D30" s="15">
        <f t="shared" si="5"/>
        <v>2377.061544694035</v>
      </c>
      <c r="E30" s="15">
        <f t="shared" si="5"/>
        <v>2465.8925970003966</v>
      </c>
      <c r="F30" s="15">
        <f t="shared" si="5"/>
        <v>2554.325858294968</v>
      </c>
      <c r="G30" s="15">
        <f t="shared" si="5"/>
        <v>2537.116565070294</v>
      </c>
      <c r="H30" s="15">
        <f t="shared" si="5"/>
        <v>2567.3211191672735</v>
      </c>
      <c r="I30" s="15">
        <f t="shared" si="5"/>
        <v>2734.1047852589727</v>
      </c>
      <c r="J30" s="15">
        <f t="shared" si="5"/>
        <v>2703.7572176916888</v>
      </c>
      <c r="K30" s="15">
        <f t="shared" si="5"/>
        <v>2696.2029972752043</v>
      </c>
      <c r="L30" s="15">
        <f t="shared" si="5"/>
        <v>3005.8638941398867</v>
      </c>
      <c r="M30" s="15">
        <f t="shared" si="5"/>
        <v>3097.2749774977497</v>
      </c>
      <c r="N30" s="15">
        <f t="shared" si="6"/>
        <v>2672.308408136349</v>
      </c>
      <c r="P30" s="4" t="s">
        <v>83</v>
      </c>
      <c r="Q30" s="15">
        <f>Q18/Q6</f>
        <v>1449.6314496314496</v>
      </c>
      <c r="R30" s="15">
        <f>R18/R6</f>
        <v>1455.4717308359347</v>
      </c>
      <c r="S30" s="15">
        <f>S18/S6</f>
        <v>1469.56302096489</v>
      </c>
      <c r="T30" s="15"/>
      <c r="U30" s="15"/>
      <c r="V30" s="15"/>
      <c r="W30" s="15">
        <f>W18/W6</f>
        <v>1753.1116098755356</v>
      </c>
      <c r="X30" s="15">
        <f>X18/X6</f>
        <v>1850.6562821222424</v>
      </c>
      <c r="Y30" s="15">
        <f>Y18/Y6</f>
        <v>1624.3252968693776</v>
      </c>
      <c r="Z30" s="15"/>
      <c r="AA30" s="15">
        <f>AA18/AA6</f>
        <v>1908.9583333333333</v>
      </c>
      <c r="AB30" s="15">
        <f>AB18/AB6</f>
        <v>1844.6530612244899</v>
      </c>
      <c r="AC30" s="15">
        <f t="shared" si="8"/>
        <v>1726.763594350148</v>
      </c>
    </row>
    <row r="31" spans="1:29" ht="12.75">
      <c r="A31" s="4" t="s">
        <v>16</v>
      </c>
      <c r="B31" s="15"/>
      <c r="C31" s="15"/>
      <c r="D31" s="15"/>
      <c r="E31" s="15"/>
      <c r="F31" s="15"/>
      <c r="G31" s="15">
        <f t="shared" si="5"/>
        <v>2460.2210209060904</v>
      </c>
      <c r="H31" s="15">
        <f t="shared" si="5"/>
        <v>2526.201126795775</v>
      </c>
      <c r="I31" s="15">
        <f t="shared" si="5"/>
        <v>2745.397870723676</v>
      </c>
      <c r="J31" s="15">
        <f t="shared" si="5"/>
        <v>2793.3502629331656</v>
      </c>
      <c r="K31" s="15">
        <f t="shared" si="5"/>
        <v>2923.4545454545455</v>
      </c>
      <c r="L31" s="15">
        <f t="shared" si="5"/>
        <v>2929.048879837067</v>
      </c>
      <c r="M31" s="15">
        <f t="shared" si="5"/>
        <v>3345.594395280236</v>
      </c>
      <c r="N31" s="15">
        <f t="shared" si="6"/>
        <v>3105.8356941419825</v>
      </c>
      <c r="P31" s="4" t="s">
        <v>16</v>
      </c>
      <c r="Q31" s="15"/>
      <c r="R31" s="15"/>
      <c r="S31" s="15"/>
      <c r="T31" s="15"/>
      <c r="U31" s="15"/>
      <c r="V31" s="15"/>
      <c r="W31" s="15"/>
      <c r="X31" s="15"/>
      <c r="Y31" s="15">
        <f>Y19/Y7</f>
        <v>2596.8310923861554</v>
      </c>
      <c r="Z31" s="15">
        <f>Z19/Z7</f>
        <v>1823.5537634408602</v>
      </c>
      <c r="AA31" s="15">
        <f>AA19/AA7</f>
        <v>1835.9130434782608</v>
      </c>
      <c r="AB31" s="15">
        <f>AB19/AB7</f>
        <v>2459.7428571428572</v>
      </c>
      <c r="AC31" s="15">
        <f t="shared" si="8"/>
        <v>2174.5011767529754</v>
      </c>
    </row>
    <row r="32" spans="1:29" ht="12.75">
      <c r="A32" s="4" t="s">
        <v>18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P32" s="4" t="s">
        <v>18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 s="4" t="s">
        <v>19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P33" s="4" t="s">
        <v>19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2.75">
      <c r="A34" s="1" t="s">
        <v>20</v>
      </c>
      <c r="B34" s="17">
        <f t="shared" si="5"/>
        <v>1986.5291745374516</v>
      </c>
      <c r="C34" s="17">
        <f t="shared" si="5"/>
        <v>2163.6031476417243</v>
      </c>
      <c r="D34" s="17">
        <f t="shared" si="5"/>
        <v>2193.8176781785623</v>
      </c>
      <c r="E34" s="17">
        <f t="shared" si="5"/>
        <v>2257.863765310849</v>
      </c>
      <c r="F34" s="17">
        <f t="shared" si="5"/>
        <v>2356.765533172501</v>
      </c>
      <c r="G34" s="17">
        <f t="shared" si="5"/>
        <v>2377.3216905969125</v>
      </c>
      <c r="H34" s="17">
        <f t="shared" si="5"/>
        <v>2421.9757210169687</v>
      </c>
      <c r="I34" s="17">
        <f t="shared" si="5"/>
        <v>2601.8455109131414</v>
      </c>
      <c r="J34" s="17">
        <f t="shared" si="5"/>
        <v>2634.8415580829796</v>
      </c>
      <c r="K34" s="17">
        <f t="shared" si="5"/>
        <v>2580.8435264251098</v>
      </c>
      <c r="L34" s="17">
        <f t="shared" si="5"/>
        <v>2876.160455776595</v>
      </c>
      <c r="M34" s="17">
        <f t="shared" si="5"/>
        <v>3137.033689126084</v>
      </c>
      <c r="N34" s="17">
        <f t="shared" si="6"/>
        <v>2484.0471554232618</v>
      </c>
      <c r="P34" s="1" t="s">
        <v>20</v>
      </c>
      <c r="Q34" s="17">
        <f aca="true" t="shared" si="10" ref="Q34:AB34">Q22/Q10</f>
        <v>1607.3299516752131</v>
      </c>
      <c r="R34" s="17">
        <f t="shared" si="10"/>
        <v>1642.9490331143375</v>
      </c>
      <c r="S34" s="17">
        <f t="shared" si="10"/>
        <v>1648.4490718606628</v>
      </c>
      <c r="T34" s="17">
        <f t="shared" si="10"/>
        <v>1668.8528679340982</v>
      </c>
      <c r="U34" s="17">
        <f t="shared" si="10"/>
        <v>1731.1758617063088</v>
      </c>
      <c r="V34" s="17">
        <f t="shared" si="10"/>
        <v>2194.327554806909</v>
      </c>
      <c r="W34" s="17">
        <f t="shared" si="10"/>
        <v>2129.1876538921297</v>
      </c>
      <c r="X34" s="17">
        <f t="shared" si="10"/>
        <v>1949.6015032133907</v>
      </c>
      <c r="Y34" s="17">
        <f t="shared" si="10"/>
        <v>2114.322933426967</v>
      </c>
      <c r="Z34" s="17">
        <f t="shared" si="10"/>
        <v>1978.5787878787878</v>
      </c>
      <c r="AA34" s="17">
        <f t="shared" si="10"/>
        <v>1829.486725663717</v>
      </c>
      <c r="AB34" s="17">
        <f t="shared" si="10"/>
        <v>2087.941242937853</v>
      </c>
      <c r="AC34" s="17">
        <f t="shared" si="8"/>
        <v>1857.607319118142</v>
      </c>
    </row>
    <row r="35" spans="1:16" ht="12.75">
      <c r="A35" s="5" t="s">
        <v>94</v>
      </c>
      <c r="P35" s="5" t="s">
        <v>94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6"/>
  <sheetViews>
    <sheetView workbookViewId="0" topLeftCell="A1">
      <selection activeCell="AC18" sqref="AC18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38</v>
      </c>
      <c r="P1" t="s">
        <v>39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49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</row>
    <row r="4" spans="1:29" ht="12.75">
      <c r="A4" s="3" t="s">
        <v>9</v>
      </c>
      <c r="B4" s="7">
        <v>6270</v>
      </c>
      <c r="C4" s="7">
        <v>6358</v>
      </c>
      <c r="D4" s="7">
        <v>7893</v>
      </c>
      <c r="E4" s="7">
        <v>7617</v>
      </c>
      <c r="F4" s="7">
        <v>555</v>
      </c>
      <c r="G4" s="7">
        <v>6455</v>
      </c>
      <c r="H4" s="7">
        <v>5529</v>
      </c>
      <c r="I4" s="7">
        <v>5586</v>
      </c>
      <c r="J4" s="7">
        <v>7865</v>
      </c>
      <c r="K4" s="7">
        <v>7582</v>
      </c>
      <c r="L4" s="7">
        <v>8368</v>
      </c>
      <c r="M4" s="67">
        <v>10919</v>
      </c>
      <c r="N4" s="7">
        <f>SUM(B4:M4)</f>
        <v>80997</v>
      </c>
      <c r="P4" s="3" t="s">
        <v>9</v>
      </c>
      <c r="Q4" s="7">
        <v>4198</v>
      </c>
      <c r="R4" s="7">
        <v>4209</v>
      </c>
      <c r="S4" s="7">
        <v>4220</v>
      </c>
      <c r="T4" s="7">
        <v>3546</v>
      </c>
      <c r="U4" s="7">
        <v>3079</v>
      </c>
      <c r="V4" s="7">
        <v>3221</v>
      </c>
      <c r="W4" s="7">
        <v>3654</v>
      </c>
      <c r="X4" s="7">
        <v>3697</v>
      </c>
      <c r="Y4" s="7">
        <v>3473</v>
      </c>
      <c r="Z4" s="7">
        <v>3052</v>
      </c>
      <c r="AA4" s="7">
        <v>3280</v>
      </c>
      <c r="AB4" s="7">
        <v>3614</v>
      </c>
      <c r="AC4" s="7">
        <f>SUM(Q4:AB4)</f>
        <v>43243</v>
      </c>
    </row>
    <row r="5" spans="1:29" ht="12.75">
      <c r="A5" s="4" t="s">
        <v>27</v>
      </c>
      <c r="B5" s="8">
        <v>11</v>
      </c>
      <c r="C5" s="8">
        <v>31</v>
      </c>
      <c r="D5" s="8">
        <f>21+111</f>
        <v>132</v>
      </c>
      <c r="E5" s="8">
        <f>12+196</f>
        <v>208</v>
      </c>
      <c r="F5" s="8">
        <v>112</v>
      </c>
      <c r="G5" s="8">
        <v>137</v>
      </c>
      <c r="H5" s="8">
        <v>12</v>
      </c>
      <c r="I5" s="8">
        <v>2</v>
      </c>
      <c r="J5" s="8">
        <v>7</v>
      </c>
      <c r="K5" s="8">
        <v>55</v>
      </c>
      <c r="L5" s="8">
        <v>64</v>
      </c>
      <c r="M5" s="47">
        <v>86</v>
      </c>
      <c r="N5" s="8">
        <f aca="true" t="shared" si="0" ref="N5:N16">SUM(B5:M5)</f>
        <v>857</v>
      </c>
      <c r="P5" s="4" t="s">
        <v>27</v>
      </c>
      <c r="Q5" s="8">
        <v>22</v>
      </c>
      <c r="R5" s="8">
        <v>28</v>
      </c>
      <c r="S5" s="8">
        <v>54</v>
      </c>
      <c r="T5" s="8">
        <v>101</v>
      </c>
      <c r="U5" s="8">
        <v>28</v>
      </c>
      <c r="V5" s="8">
        <v>50</v>
      </c>
      <c r="W5" s="8">
        <v>12</v>
      </c>
      <c r="X5" s="8">
        <v>5</v>
      </c>
      <c r="Y5" s="8">
        <v>8</v>
      </c>
      <c r="Z5" s="8">
        <v>1</v>
      </c>
      <c r="AA5" s="8">
        <v>10</v>
      </c>
      <c r="AB5" s="8">
        <v>26</v>
      </c>
      <c r="AC5" s="8">
        <f aca="true" t="shared" si="1" ref="AC5:AC16">SUM(Q5:AB5)</f>
        <v>345</v>
      </c>
    </row>
    <row r="6" spans="1:29" ht="12.75">
      <c r="A6" s="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47"/>
      <c r="N6" s="8"/>
      <c r="P6" s="4" t="s">
        <v>10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4" t="s">
        <v>33</v>
      </c>
      <c r="B7" s="8">
        <v>317</v>
      </c>
      <c r="C7" s="8">
        <f>238+22</f>
        <v>260</v>
      </c>
      <c r="D7" s="8">
        <f>225+263</f>
        <v>488</v>
      </c>
      <c r="E7" s="8">
        <f>404+370</f>
        <v>774</v>
      </c>
      <c r="F7" s="8">
        <f>587+348</f>
        <v>935</v>
      </c>
      <c r="G7" s="8">
        <f>671+320</f>
        <v>991</v>
      </c>
      <c r="H7" s="8">
        <f>866+497</f>
        <v>1363</v>
      </c>
      <c r="I7" s="8">
        <f>397+304</f>
        <v>701</v>
      </c>
      <c r="J7" s="8">
        <v>1336</v>
      </c>
      <c r="K7" s="8">
        <v>643</v>
      </c>
      <c r="L7" s="8">
        <v>427</v>
      </c>
      <c r="M7" s="47">
        <v>459</v>
      </c>
      <c r="N7" s="8">
        <f t="shared" si="0"/>
        <v>8694</v>
      </c>
      <c r="P7" s="4" t="s">
        <v>33</v>
      </c>
      <c r="Q7" s="8">
        <v>18</v>
      </c>
      <c r="R7" s="8">
        <v>18</v>
      </c>
      <c r="S7" s="8">
        <f>25+106</f>
        <v>131</v>
      </c>
      <c r="T7" s="8">
        <v>25</v>
      </c>
      <c r="U7" s="8">
        <f>126+48</f>
        <v>174</v>
      </c>
      <c r="V7" s="8">
        <v>76</v>
      </c>
      <c r="W7" s="8">
        <f>23+119</f>
        <v>142</v>
      </c>
      <c r="X7" s="8">
        <v>21</v>
      </c>
      <c r="Y7" s="8"/>
      <c r="Z7" s="8"/>
      <c r="AA7" s="8">
        <v>21</v>
      </c>
      <c r="AB7" s="8"/>
      <c r="AC7" s="8">
        <f t="shared" si="1"/>
        <v>626</v>
      </c>
    </row>
    <row r="8" spans="1:29" ht="12.75">
      <c r="A8" s="4" t="s">
        <v>11</v>
      </c>
      <c r="B8" s="8"/>
      <c r="C8" s="8">
        <v>1</v>
      </c>
      <c r="D8" s="19">
        <v>0</v>
      </c>
      <c r="E8" s="8"/>
      <c r="F8" s="8"/>
      <c r="G8" s="8"/>
      <c r="H8" s="8"/>
      <c r="I8" s="8"/>
      <c r="J8" s="8"/>
      <c r="K8" s="8"/>
      <c r="L8" s="8">
        <v>1</v>
      </c>
      <c r="M8" s="47"/>
      <c r="N8" s="8">
        <f t="shared" si="0"/>
        <v>2</v>
      </c>
      <c r="P8" s="4" t="s">
        <v>11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4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7"/>
      <c r="N9" s="8"/>
      <c r="P9" s="4" t="s">
        <v>12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2.75">
      <c r="A10" s="4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7"/>
      <c r="N10" s="8"/>
      <c r="P10" s="4" t="s">
        <v>13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2.75">
      <c r="A11" s="4" t="s">
        <v>14</v>
      </c>
      <c r="B11" s="8">
        <v>1055</v>
      </c>
      <c r="C11" s="8">
        <v>710</v>
      </c>
      <c r="D11" s="8">
        <v>1024</v>
      </c>
      <c r="E11" s="8">
        <v>1367</v>
      </c>
      <c r="F11" s="8">
        <v>1637</v>
      </c>
      <c r="G11" s="8">
        <v>1672</v>
      </c>
      <c r="H11" s="8">
        <v>1546</v>
      </c>
      <c r="I11" s="8">
        <v>1602</v>
      </c>
      <c r="J11" s="8">
        <v>1288</v>
      </c>
      <c r="K11" s="8">
        <v>1184</v>
      </c>
      <c r="L11" s="8">
        <v>172</v>
      </c>
      <c r="M11" s="47">
        <v>560</v>
      </c>
      <c r="N11" s="8">
        <f t="shared" si="0"/>
        <v>13817</v>
      </c>
      <c r="P11" s="4" t="s">
        <v>14</v>
      </c>
      <c r="Q11" s="8">
        <v>3057</v>
      </c>
      <c r="R11" s="8">
        <v>1663</v>
      </c>
      <c r="S11" s="8">
        <v>1187</v>
      </c>
      <c r="T11" s="8">
        <v>1646</v>
      </c>
      <c r="U11" s="8">
        <v>2279</v>
      </c>
      <c r="V11" s="8">
        <v>2413</v>
      </c>
      <c r="W11" s="8">
        <v>988</v>
      </c>
      <c r="X11" s="8">
        <v>855</v>
      </c>
      <c r="Y11" s="8">
        <v>977</v>
      </c>
      <c r="Z11" s="8">
        <v>1508</v>
      </c>
      <c r="AA11" s="8">
        <v>829</v>
      </c>
      <c r="AB11" s="8">
        <v>984</v>
      </c>
      <c r="AC11" s="8">
        <f t="shared" si="1"/>
        <v>18386</v>
      </c>
    </row>
    <row r="12" spans="1:29" ht="12.75">
      <c r="A12" s="4" t="s">
        <v>15</v>
      </c>
      <c r="B12" s="8">
        <v>49</v>
      </c>
      <c r="C12" s="8">
        <v>44</v>
      </c>
      <c r="D12" s="8">
        <v>167</v>
      </c>
      <c r="E12" s="8">
        <v>85</v>
      </c>
      <c r="F12" s="8">
        <v>80</v>
      </c>
      <c r="G12" s="8">
        <v>59</v>
      </c>
      <c r="H12" s="8">
        <v>102</v>
      </c>
      <c r="I12" s="8">
        <v>77</v>
      </c>
      <c r="J12" s="8">
        <v>38</v>
      </c>
      <c r="K12" s="8">
        <v>31</v>
      </c>
      <c r="L12" s="8">
        <v>81</v>
      </c>
      <c r="M12" s="47">
        <v>72</v>
      </c>
      <c r="N12" s="8">
        <f t="shared" si="0"/>
        <v>885</v>
      </c>
      <c r="P12" s="4" t="s">
        <v>15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75">
      <c r="A13" s="4" t="s">
        <v>16</v>
      </c>
      <c r="B13" s="8">
        <v>479</v>
      </c>
      <c r="C13" s="8">
        <v>398</v>
      </c>
      <c r="D13" s="8">
        <v>462</v>
      </c>
      <c r="E13" s="8">
        <v>437</v>
      </c>
      <c r="F13" s="8">
        <v>434</v>
      </c>
      <c r="G13" s="8">
        <v>910</v>
      </c>
      <c r="H13" s="8">
        <v>401</v>
      </c>
      <c r="I13" s="8">
        <v>358</v>
      </c>
      <c r="J13" s="8">
        <v>344</v>
      </c>
      <c r="K13" s="8">
        <v>404</v>
      </c>
      <c r="L13" s="8">
        <v>456</v>
      </c>
      <c r="M13" s="47">
        <v>585</v>
      </c>
      <c r="N13" s="8">
        <f t="shared" si="0"/>
        <v>5668</v>
      </c>
      <c r="P13" s="4" t="s">
        <v>16</v>
      </c>
      <c r="Q13" s="8">
        <v>96</v>
      </c>
      <c r="R13" s="8">
        <v>68</v>
      </c>
      <c r="S13" s="8">
        <v>55</v>
      </c>
      <c r="T13" s="8">
        <v>27</v>
      </c>
      <c r="U13" s="8">
        <v>143</v>
      </c>
      <c r="V13" s="8">
        <v>119</v>
      </c>
      <c r="W13" s="8">
        <v>134</v>
      </c>
      <c r="X13" s="8">
        <v>74</v>
      </c>
      <c r="Y13" s="8">
        <v>114</v>
      </c>
      <c r="Z13" s="8">
        <v>76</v>
      </c>
      <c r="AA13" s="8">
        <v>252</v>
      </c>
      <c r="AB13" s="8">
        <v>166</v>
      </c>
      <c r="AC13" s="8">
        <f t="shared" si="1"/>
        <v>1324</v>
      </c>
    </row>
    <row r="14" spans="1:29" ht="12.75">
      <c r="A14" s="4" t="s">
        <v>17</v>
      </c>
      <c r="B14" s="8">
        <v>780</v>
      </c>
      <c r="C14" s="8">
        <v>357</v>
      </c>
      <c r="D14" s="8">
        <v>631</v>
      </c>
      <c r="E14" s="8">
        <v>449</v>
      </c>
      <c r="F14" s="8">
        <v>418</v>
      </c>
      <c r="G14" s="8">
        <v>849</v>
      </c>
      <c r="H14" s="8">
        <v>567</v>
      </c>
      <c r="I14" s="8">
        <v>740</v>
      </c>
      <c r="J14" s="8">
        <v>422</v>
      </c>
      <c r="K14" s="8">
        <v>422</v>
      </c>
      <c r="L14" s="8">
        <v>529</v>
      </c>
      <c r="M14" s="47">
        <v>436</v>
      </c>
      <c r="N14" s="8">
        <f t="shared" si="0"/>
        <v>6600</v>
      </c>
      <c r="P14" s="4" t="s">
        <v>17</v>
      </c>
      <c r="Q14" s="8">
        <v>220</v>
      </c>
      <c r="R14" s="8">
        <v>266</v>
      </c>
      <c r="S14" s="8">
        <v>116</v>
      </c>
      <c r="T14" s="8">
        <v>226</v>
      </c>
      <c r="U14" s="8">
        <v>346</v>
      </c>
      <c r="V14" s="8">
        <v>98</v>
      </c>
      <c r="W14" s="8">
        <v>213</v>
      </c>
      <c r="X14" s="8">
        <v>236</v>
      </c>
      <c r="Y14" s="8">
        <v>175</v>
      </c>
      <c r="Z14" s="8">
        <v>180</v>
      </c>
      <c r="AA14" s="8">
        <v>168</v>
      </c>
      <c r="AB14" s="8">
        <v>229</v>
      </c>
      <c r="AC14" s="8">
        <f t="shared" si="1"/>
        <v>2473</v>
      </c>
    </row>
    <row r="15" spans="1:29" ht="12.75">
      <c r="A15" s="4" t="s">
        <v>18</v>
      </c>
      <c r="B15" s="8">
        <v>432</v>
      </c>
      <c r="C15" s="8">
        <v>57</v>
      </c>
      <c r="D15" s="8">
        <v>332</v>
      </c>
      <c r="E15" s="8">
        <v>531</v>
      </c>
      <c r="F15" s="8">
        <v>323</v>
      </c>
      <c r="G15" s="8">
        <v>708</v>
      </c>
      <c r="H15" s="8">
        <v>400</v>
      </c>
      <c r="I15" s="8">
        <v>372</v>
      </c>
      <c r="J15" s="8">
        <v>240</v>
      </c>
      <c r="K15" s="8">
        <v>384</v>
      </c>
      <c r="L15" s="8">
        <v>374</v>
      </c>
      <c r="M15" s="47">
        <v>489</v>
      </c>
      <c r="N15" s="8">
        <f t="shared" si="0"/>
        <v>4642</v>
      </c>
      <c r="P15" s="4" t="s">
        <v>18</v>
      </c>
      <c r="Q15" s="8"/>
      <c r="R15" s="8"/>
      <c r="S15" s="8"/>
      <c r="T15" s="8"/>
      <c r="U15" s="8"/>
      <c r="V15" s="8">
        <v>20</v>
      </c>
      <c r="W15" s="8"/>
      <c r="X15" s="8"/>
      <c r="Y15" s="8">
        <v>19</v>
      </c>
      <c r="Z15" s="8"/>
      <c r="AA15" s="8"/>
      <c r="AB15" s="8"/>
      <c r="AC15" s="8">
        <f t="shared" si="1"/>
        <v>39</v>
      </c>
    </row>
    <row r="16" spans="1:29" ht="12.75">
      <c r="A16" s="4" t="s">
        <v>19</v>
      </c>
      <c r="B16" s="8"/>
      <c r="C16" s="8"/>
      <c r="D16" s="8">
        <v>16</v>
      </c>
      <c r="E16" s="8">
        <v>57</v>
      </c>
      <c r="F16" s="8">
        <v>67</v>
      </c>
      <c r="G16" s="8">
        <v>39</v>
      </c>
      <c r="H16" s="8"/>
      <c r="I16" s="8"/>
      <c r="J16" s="8"/>
      <c r="K16" s="8"/>
      <c r="L16" s="8"/>
      <c r="M16" s="47"/>
      <c r="N16" s="8">
        <f t="shared" si="0"/>
        <v>179</v>
      </c>
      <c r="P16" s="4" t="s">
        <v>19</v>
      </c>
      <c r="Q16" s="8"/>
      <c r="R16" s="8"/>
      <c r="S16" s="8">
        <v>4</v>
      </c>
      <c r="T16" s="8"/>
      <c r="U16" s="8"/>
      <c r="V16" s="8"/>
      <c r="W16" s="8"/>
      <c r="X16" s="8"/>
      <c r="Y16" s="8"/>
      <c r="Z16" s="8"/>
      <c r="AA16" s="8"/>
      <c r="AB16" s="8">
        <v>3</v>
      </c>
      <c r="AC16" s="8">
        <f t="shared" si="1"/>
        <v>7</v>
      </c>
    </row>
    <row r="17" spans="1:29" ht="12.75">
      <c r="A17" s="11" t="s">
        <v>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/>
      <c r="O17" s="68"/>
      <c r="P17" s="11" t="s">
        <v>35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9"/>
    </row>
    <row r="18" spans="1:29" ht="12.75">
      <c r="A18" s="1" t="s">
        <v>20</v>
      </c>
      <c r="B18" s="10">
        <f>SUM(B4:B17)</f>
        <v>9393</v>
      </c>
      <c r="C18" s="10">
        <f aca="true" t="shared" si="2" ref="C18:N18">SUM(C4:C17)</f>
        <v>8216</v>
      </c>
      <c r="D18" s="10">
        <f t="shared" si="2"/>
        <v>11145</v>
      </c>
      <c r="E18" s="10">
        <f t="shared" si="2"/>
        <v>11525</v>
      </c>
      <c r="F18" s="10">
        <f t="shared" si="2"/>
        <v>4561</v>
      </c>
      <c r="G18" s="10">
        <f t="shared" si="2"/>
        <v>11820</v>
      </c>
      <c r="H18" s="10">
        <f t="shared" si="2"/>
        <v>9920</v>
      </c>
      <c r="I18" s="10">
        <f t="shared" si="2"/>
        <v>9438</v>
      </c>
      <c r="J18" s="10">
        <f t="shared" si="2"/>
        <v>11540</v>
      </c>
      <c r="K18" s="10">
        <f t="shared" si="2"/>
        <v>10705</v>
      </c>
      <c r="L18" s="10">
        <f t="shared" si="2"/>
        <v>10472</v>
      </c>
      <c r="M18" s="10">
        <f t="shared" si="2"/>
        <v>13606</v>
      </c>
      <c r="N18" s="9">
        <f t="shared" si="2"/>
        <v>122341</v>
      </c>
      <c r="P18" s="1" t="s">
        <v>20</v>
      </c>
      <c r="Q18" s="10">
        <f>SUM(Q4:Q17)</f>
        <v>7611</v>
      </c>
      <c r="R18" s="10">
        <f aca="true" t="shared" si="3" ref="R18:AC18">SUM(R4:R17)</f>
        <v>6252</v>
      </c>
      <c r="S18" s="10">
        <f t="shared" si="3"/>
        <v>5767</v>
      </c>
      <c r="T18" s="10">
        <f t="shared" si="3"/>
        <v>5571</v>
      </c>
      <c r="U18" s="10">
        <f t="shared" si="3"/>
        <v>6049</v>
      </c>
      <c r="V18" s="10">
        <f t="shared" si="3"/>
        <v>5997</v>
      </c>
      <c r="W18" s="10">
        <f t="shared" si="3"/>
        <v>5143</v>
      </c>
      <c r="X18" s="10">
        <f t="shared" si="3"/>
        <v>4888</v>
      </c>
      <c r="Y18" s="10">
        <f t="shared" si="3"/>
        <v>4766</v>
      </c>
      <c r="Z18" s="10">
        <f t="shared" si="3"/>
        <v>4817</v>
      </c>
      <c r="AA18" s="10">
        <f t="shared" si="3"/>
        <v>4560</v>
      </c>
      <c r="AB18" s="10">
        <f t="shared" si="3"/>
        <v>5022</v>
      </c>
      <c r="AC18" s="10">
        <f t="shared" si="3"/>
        <v>66443</v>
      </c>
    </row>
    <row r="19" spans="1:16" ht="12.75">
      <c r="A19" s="5" t="s">
        <v>24</v>
      </c>
      <c r="P19" s="5" t="s">
        <v>24</v>
      </c>
    </row>
    <row r="21" spans="1:16" ht="12.75">
      <c r="A21" t="s">
        <v>38</v>
      </c>
      <c r="P21" t="s">
        <v>39</v>
      </c>
    </row>
    <row r="22" spans="1:16" ht="12.75">
      <c r="A22" t="s">
        <v>31</v>
      </c>
      <c r="P22" t="s">
        <v>31</v>
      </c>
    </row>
    <row r="23" spans="1:29" ht="12.75">
      <c r="A23" s="1" t="s">
        <v>21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28</v>
      </c>
      <c r="L23" s="2" t="s">
        <v>29</v>
      </c>
      <c r="M23" s="2" t="s">
        <v>30</v>
      </c>
      <c r="N23" s="49" t="s">
        <v>25</v>
      </c>
      <c r="P23" s="1" t="s">
        <v>21</v>
      </c>
      <c r="Q23" s="2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2" t="s">
        <v>6</v>
      </c>
      <c r="X23" s="2" t="s">
        <v>7</v>
      </c>
      <c r="Y23" s="2" t="s">
        <v>8</v>
      </c>
      <c r="Z23" s="2" t="s">
        <v>28</v>
      </c>
      <c r="AA23" s="2" t="s">
        <v>29</v>
      </c>
      <c r="AB23" s="2" t="s">
        <v>30</v>
      </c>
      <c r="AC23" s="6" t="s">
        <v>25</v>
      </c>
    </row>
    <row r="24" spans="1:29" ht="12.75">
      <c r="A24" s="3" t="s">
        <v>9</v>
      </c>
      <c r="B24" s="7">
        <v>32976378</v>
      </c>
      <c r="C24" s="7">
        <v>34826099</v>
      </c>
      <c r="D24" s="7">
        <v>46962903</v>
      </c>
      <c r="E24" s="7">
        <v>45639151</v>
      </c>
      <c r="F24" s="7">
        <v>43333027</v>
      </c>
      <c r="G24" s="7">
        <v>34740966</v>
      </c>
      <c r="H24" s="7">
        <v>27472226</v>
      </c>
      <c r="I24" s="7">
        <v>28300334</v>
      </c>
      <c r="J24" s="7">
        <v>36111214</v>
      </c>
      <c r="K24" s="7">
        <v>36321514</v>
      </c>
      <c r="L24" s="7">
        <v>41065830</v>
      </c>
      <c r="M24" s="67">
        <v>55709297</v>
      </c>
      <c r="N24" s="7">
        <f>SUM(B24:M24)</f>
        <v>463458939</v>
      </c>
      <c r="P24" s="3" t="s">
        <v>9</v>
      </c>
      <c r="Q24" s="7">
        <v>14474726</v>
      </c>
      <c r="R24" s="7">
        <v>15267476</v>
      </c>
      <c r="S24" s="7">
        <v>14072724</v>
      </c>
      <c r="T24" s="7">
        <v>11861129</v>
      </c>
      <c r="U24" s="7">
        <v>10331982</v>
      </c>
      <c r="V24" s="7">
        <v>10331982</v>
      </c>
      <c r="W24" s="7">
        <v>10437353</v>
      </c>
      <c r="X24" s="7">
        <v>10221289</v>
      </c>
      <c r="Y24" s="7">
        <v>9331277</v>
      </c>
      <c r="Z24" s="7">
        <v>8827076</v>
      </c>
      <c r="AA24" s="7">
        <v>9877097</v>
      </c>
      <c r="AB24" s="7">
        <v>11807383</v>
      </c>
      <c r="AC24" s="7">
        <f>SUM(Q24:AB24)</f>
        <v>136841494</v>
      </c>
    </row>
    <row r="25" spans="1:29" ht="12.75">
      <c r="A25" s="4" t="s">
        <v>27</v>
      </c>
      <c r="B25" s="8">
        <v>52177</v>
      </c>
      <c r="C25" s="8">
        <v>151028</v>
      </c>
      <c r="D25" s="8">
        <f>76085+476160</f>
        <v>552245</v>
      </c>
      <c r="E25" s="8">
        <f>59026+961024</f>
        <v>1020050</v>
      </c>
      <c r="F25" s="8">
        <f>56546+470954</f>
        <v>527500</v>
      </c>
      <c r="G25" s="8">
        <f>24691+660792</f>
        <v>685483</v>
      </c>
      <c r="H25" s="8">
        <v>62110</v>
      </c>
      <c r="I25" s="8">
        <v>15998</v>
      </c>
      <c r="J25" s="8">
        <v>32683</v>
      </c>
      <c r="K25" s="8">
        <v>307216</v>
      </c>
      <c r="L25" s="8">
        <v>283362</v>
      </c>
      <c r="M25" s="47">
        <v>399108</v>
      </c>
      <c r="N25" s="8">
        <f aca="true" t="shared" si="4" ref="N25:N38">SUM(B25:M25)</f>
        <v>4088960</v>
      </c>
      <c r="P25" s="4" t="s">
        <v>27</v>
      </c>
      <c r="Q25" s="8">
        <v>94814</v>
      </c>
      <c r="R25" s="8">
        <v>78690</v>
      </c>
      <c r="S25" s="8">
        <v>246801</v>
      </c>
      <c r="T25" s="8">
        <v>471751</v>
      </c>
      <c r="U25" s="8">
        <v>102293</v>
      </c>
      <c r="V25" s="8">
        <v>146392</v>
      </c>
      <c r="W25" s="8">
        <v>30413</v>
      </c>
      <c r="X25" s="8">
        <v>22578</v>
      </c>
      <c r="Y25" s="8">
        <v>34851</v>
      </c>
      <c r="Z25" s="8">
        <v>5075</v>
      </c>
      <c r="AA25" s="8">
        <v>27076</v>
      </c>
      <c r="AB25" s="8">
        <v>65835</v>
      </c>
      <c r="AC25" s="8">
        <f>SUM(Q25:AB25)</f>
        <v>1326569</v>
      </c>
    </row>
    <row r="26" spans="1:29" ht="12.75">
      <c r="A26" s="4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7"/>
      <c r="N26" s="8"/>
      <c r="P26" s="4" t="s">
        <v>10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.75">
      <c r="A27" s="4" t="s">
        <v>33</v>
      </c>
      <c r="B27" s="8">
        <f>1278675+881300</f>
        <v>2159975</v>
      </c>
      <c r="C27" s="8">
        <f>1704665+137758</f>
        <v>1842423</v>
      </c>
      <c r="D27" s="8">
        <f>1574605+1705579</f>
        <v>3280184</v>
      </c>
      <c r="E27" s="8">
        <f>2892786+2420913</f>
        <v>5313699</v>
      </c>
      <c r="F27" s="8">
        <f>4023817+2262654</f>
        <v>6286471</v>
      </c>
      <c r="G27" s="8">
        <f>4603406+2084782</f>
        <v>6688188</v>
      </c>
      <c r="H27" s="8">
        <f>5617488+3113309</f>
        <v>8730797</v>
      </c>
      <c r="I27" s="8">
        <f>2588891+1914924</f>
        <v>4503815</v>
      </c>
      <c r="J27" s="8">
        <v>8799728</v>
      </c>
      <c r="K27" s="8">
        <v>4022245</v>
      </c>
      <c r="L27" s="8">
        <v>2629820</v>
      </c>
      <c r="M27" s="47">
        <v>2955249</v>
      </c>
      <c r="N27" s="8">
        <f t="shared" si="4"/>
        <v>57212594</v>
      </c>
      <c r="P27" s="4" t="s">
        <v>33</v>
      </c>
      <c r="Q27" s="8">
        <v>57947</v>
      </c>
      <c r="R27" s="8">
        <v>63471</v>
      </c>
      <c r="S27" s="8">
        <f>86187+347786</f>
        <v>433973</v>
      </c>
      <c r="T27" s="8">
        <v>79791</v>
      </c>
      <c r="U27" s="8">
        <f>426250+148230</f>
        <v>574480</v>
      </c>
      <c r="V27" s="8">
        <v>229514</v>
      </c>
      <c r="W27" s="8">
        <f>72540+348774</f>
        <v>421314</v>
      </c>
      <c r="X27" s="8">
        <f>67938</f>
        <v>67938</v>
      </c>
      <c r="Y27" s="8"/>
      <c r="Z27" s="8"/>
      <c r="AA27" s="8">
        <v>62030</v>
      </c>
      <c r="AB27" s="8"/>
      <c r="AC27" s="8">
        <f>SUM(Q27:Y27)</f>
        <v>1928428</v>
      </c>
    </row>
    <row r="28" spans="1:29" ht="12.75">
      <c r="A28" s="4" t="s">
        <v>11</v>
      </c>
      <c r="B28" s="8"/>
      <c r="C28" s="8">
        <v>6443</v>
      </c>
      <c r="D28" s="8">
        <v>5170</v>
      </c>
      <c r="E28" s="8"/>
      <c r="F28" s="8"/>
      <c r="G28" s="8"/>
      <c r="H28" s="8"/>
      <c r="I28" s="8"/>
      <c r="J28" s="8"/>
      <c r="K28" s="8">
        <v>2445</v>
      </c>
      <c r="L28" s="8">
        <v>12217</v>
      </c>
      <c r="M28" s="47">
        <v>130769</v>
      </c>
      <c r="N28" s="8">
        <f t="shared" si="4"/>
        <v>157044</v>
      </c>
      <c r="P28" s="4" t="s">
        <v>11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.75">
      <c r="A29" s="4" t="s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7"/>
      <c r="N29" s="8"/>
      <c r="P29" s="4" t="s">
        <v>12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.75">
      <c r="A30" s="4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7"/>
      <c r="N30" s="8"/>
      <c r="P30" s="4" t="s">
        <v>13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.75">
      <c r="A31" s="4" t="s">
        <v>14</v>
      </c>
      <c r="B31" s="8">
        <v>4641776</v>
      </c>
      <c r="C31" s="8">
        <v>3466931</v>
      </c>
      <c r="D31" s="8">
        <v>5119816</v>
      </c>
      <c r="E31" s="8">
        <v>6495745</v>
      </c>
      <c r="F31" s="8">
        <v>7994001</v>
      </c>
      <c r="G31" s="8">
        <v>8394275</v>
      </c>
      <c r="H31" s="8">
        <v>6477735</v>
      </c>
      <c r="I31" s="8">
        <v>6407393</v>
      </c>
      <c r="J31" s="8">
        <v>4919310</v>
      </c>
      <c r="K31" s="8">
        <v>4835473</v>
      </c>
      <c r="L31" s="8">
        <v>892545</v>
      </c>
      <c r="M31" s="47">
        <v>3298757</v>
      </c>
      <c r="N31" s="8">
        <f t="shared" si="4"/>
        <v>62943757</v>
      </c>
      <c r="P31" s="4" t="s">
        <v>14</v>
      </c>
      <c r="Q31" s="8">
        <v>7069373</v>
      </c>
      <c r="R31" s="8">
        <v>4126882</v>
      </c>
      <c r="S31" s="8">
        <v>2913020</v>
      </c>
      <c r="T31" s="8">
        <v>3928969</v>
      </c>
      <c r="U31" s="8">
        <v>5222765</v>
      </c>
      <c r="V31" s="8">
        <v>5992773</v>
      </c>
      <c r="W31" s="8">
        <v>2407473</v>
      </c>
      <c r="X31" s="8">
        <v>2459129</v>
      </c>
      <c r="Y31" s="8">
        <v>2554487</v>
      </c>
      <c r="Z31" s="8">
        <v>3565753</v>
      </c>
      <c r="AA31" s="8">
        <v>2219251</v>
      </c>
      <c r="AB31" s="8">
        <v>2871003</v>
      </c>
      <c r="AC31" s="8">
        <f>SUM(Q31:AB31)</f>
        <v>45330878</v>
      </c>
    </row>
    <row r="32" spans="1:29" ht="12.75">
      <c r="A32" s="4" t="s">
        <v>15</v>
      </c>
      <c r="B32" s="8">
        <v>255618</v>
      </c>
      <c r="C32" s="8">
        <v>240807</v>
      </c>
      <c r="D32" s="8">
        <v>928246</v>
      </c>
      <c r="E32" s="8">
        <v>495010</v>
      </c>
      <c r="F32" s="8">
        <v>453946</v>
      </c>
      <c r="G32" s="8">
        <v>341518</v>
      </c>
      <c r="H32" s="8">
        <v>547680</v>
      </c>
      <c r="I32" s="8">
        <v>400210</v>
      </c>
      <c r="J32" s="8">
        <v>189767</v>
      </c>
      <c r="K32" s="8">
        <v>145461</v>
      </c>
      <c r="L32" s="8">
        <v>43858</v>
      </c>
      <c r="M32" s="47">
        <v>419916</v>
      </c>
      <c r="N32" s="8">
        <f t="shared" si="4"/>
        <v>4462037</v>
      </c>
      <c r="P32" s="4" t="s">
        <v>15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.75">
      <c r="A33" s="4" t="s">
        <v>16</v>
      </c>
      <c r="B33" s="8">
        <v>2989327</v>
      </c>
      <c r="C33" s="8">
        <v>2608167</v>
      </c>
      <c r="D33" s="8">
        <v>2971875</v>
      </c>
      <c r="E33" s="8">
        <v>2784830</v>
      </c>
      <c r="F33" s="8">
        <v>2695418</v>
      </c>
      <c r="G33" s="8">
        <v>5603359</v>
      </c>
      <c r="H33" s="8">
        <v>2365011</v>
      </c>
      <c r="I33" s="8">
        <v>2231476</v>
      </c>
      <c r="J33" s="8">
        <v>1980130</v>
      </c>
      <c r="K33" s="8">
        <v>2391809</v>
      </c>
      <c r="L33" s="8">
        <v>3036458</v>
      </c>
      <c r="M33" s="47">
        <v>4632667</v>
      </c>
      <c r="N33" s="8">
        <f t="shared" si="4"/>
        <v>36290527</v>
      </c>
      <c r="P33" s="4" t="s">
        <v>16</v>
      </c>
      <c r="Q33" s="8">
        <v>271596</v>
      </c>
      <c r="R33" s="8">
        <v>207541</v>
      </c>
      <c r="S33" s="8">
        <v>165278</v>
      </c>
      <c r="T33" s="8">
        <v>77709</v>
      </c>
      <c r="U33" s="8">
        <v>524427</v>
      </c>
      <c r="V33" s="8">
        <v>581637</v>
      </c>
      <c r="W33" s="8">
        <v>543388</v>
      </c>
      <c r="X33" s="8">
        <v>266811</v>
      </c>
      <c r="Y33" s="8">
        <v>318403</v>
      </c>
      <c r="Z33" s="8">
        <v>163087</v>
      </c>
      <c r="AA33" s="8">
        <v>794464</v>
      </c>
      <c r="AB33" s="8">
        <v>902403</v>
      </c>
      <c r="AC33" s="8">
        <f>SUM(Q33:AB33)</f>
        <v>4816744</v>
      </c>
    </row>
    <row r="34" spans="1:29" ht="12.75">
      <c r="A34" s="4" t="s">
        <v>17</v>
      </c>
      <c r="B34" s="8">
        <v>4479796</v>
      </c>
      <c r="C34" s="8">
        <v>2159008</v>
      </c>
      <c r="D34" s="8">
        <v>3760270</v>
      </c>
      <c r="E34" s="8">
        <v>3060832</v>
      </c>
      <c r="F34" s="8">
        <v>2877491</v>
      </c>
      <c r="G34" s="8">
        <v>5999784</v>
      </c>
      <c r="H34" s="8">
        <v>3587792</v>
      </c>
      <c r="I34" s="8">
        <v>5288113</v>
      </c>
      <c r="J34" s="8">
        <v>3039074</v>
      </c>
      <c r="K34" s="8">
        <v>3003496</v>
      </c>
      <c r="L34" s="8">
        <v>3643859</v>
      </c>
      <c r="M34" s="47">
        <v>3392774</v>
      </c>
      <c r="N34" s="8">
        <f t="shared" si="4"/>
        <v>44292289</v>
      </c>
      <c r="P34" s="4" t="s">
        <v>17</v>
      </c>
      <c r="Q34" s="8">
        <v>617075</v>
      </c>
      <c r="R34" s="8">
        <v>755266</v>
      </c>
      <c r="S34" s="8">
        <v>306341</v>
      </c>
      <c r="T34" s="8">
        <v>624051</v>
      </c>
      <c r="U34" s="8">
        <v>850653</v>
      </c>
      <c r="V34" s="8">
        <v>276386</v>
      </c>
      <c r="W34" s="8">
        <v>567474</v>
      </c>
      <c r="X34" s="8">
        <v>700597</v>
      </c>
      <c r="Y34" s="8">
        <v>510269</v>
      </c>
      <c r="Z34" s="8">
        <v>483299</v>
      </c>
      <c r="AA34" s="8">
        <v>452382</v>
      </c>
      <c r="AB34" s="8">
        <v>702273</v>
      </c>
      <c r="AC34" s="8">
        <f>SUM(Q34:AB34)</f>
        <v>6846066</v>
      </c>
    </row>
    <row r="35" spans="1:29" ht="12.75">
      <c r="A35" s="4" t="s">
        <v>18</v>
      </c>
      <c r="B35" s="8">
        <v>2675782</v>
      </c>
      <c r="C35" s="8">
        <v>394996</v>
      </c>
      <c r="D35" s="8">
        <v>2230195</v>
      </c>
      <c r="E35" s="8">
        <v>3477565</v>
      </c>
      <c r="F35" s="8">
        <v>1868089</v>
      </c>
      <c r="G35" s="8">
        <v>4103895</v>
      </c>
      <c r="H35" s="8">
        <v>2318832</v>
      </c>
      <c r="I35" s="8">
        <v>2193185</v>
      </c>
      <c r="J35" s="8">
        <v>1412940</v>
      </c>
      <c r="K35" s="8">
        <v>2098373</v>
      </c>
      <c r="L35" s="8">
        <v>2007519</v>
      </c>
      <c r="M35" s="47">
        <v>2814134</v>
      </c>
      <c r="N35" s="8">
        <f t="shared" si="4"/>
        <v>27595505</v>
      </c>
      <c r="P35" s="4" t="s">
        <v>18</v>
      </c>
      <c r="Q35" s="8"/>
      <c r="R35" s="8"/>
      <c r="S35" s="8"/>
      <c r="T35" s="8"/>
      <c r="U35" s="8"/>
      <c r="V35" s="8">
        <v>51430</v>
      </c>
      <c r="W35" s="8"/>
      <c r="X35" s="8"/>
      <c r="Y35" s="8">
        <v>51135</v>
      </c>
      <c r="Z35" s="8"/>
      <c r="AA35" s="8">
        <v>1280</v>
      </c>
      <c r="AB35" s="8"/>
      <c r="AC35" s="8">
        <f>SUM(Q35:Y35)</f>
        <v>102565</v>
      </c>
    </row>
    <row r="36" spans="1:29" ht="12.75">
      <c r="A36" s="4" t="s">
        <v>19</v>
      </c>
      <c r="B36" s="8"/>
      <c r="C36" s="8"/>
      <c r="D36" s="8">
        <v>85635</v>
      </c>
      <c r="E36" s="8">
        <v>333235</v>
      </c>
      <c r="F36" s="8">
        <v>497356</v>
      </c>
      <c r="G36" s="8">
        <v>194684</v>
      </c>
      <c r="H36" s="8"/>
      <c r="I36" s="8"/>
      <c r="J36" s="8"/>
      <c r="K36" s="8"/>
      <c r="L36" s="8"/>
      <c r="M36" s="47">
        <v>3693</v>
      </c>
      <c r="N36" s="8">
        <f t="shared" si="4"/>
        <v>1114603</v>
      </c>
      <c r="P36" s="4" t="s">
        <v>19</v>
      </c>
      <c r="Q36" s="8"/>
      <c r="R36" s="8"/>
      <c r="S36" s="8">
        <v>28052</v>
      </c>
      <c r="T36" s="8"/>
      <c r="U36" s="8"/>
      <c r="V36" s="8"/>
      <c r="W36" s="8"/>
      <c r="X36" s="8"/>
      <c r="Y36" s="8"/>
      <c r="Z36" s="8"/>
      <c r="AA36" s="8"/>
      <c r="AB36" s="8">
        <v>19978</v>
      </c>
      <c r="AC36" s="8">
        <f>SUM(Q36:Y36)</f>
        <v>28052</v>
      </c>
    </row>
    <row r="37" spans="1:29" ht="12.75">
      <c r="A37" s="11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  <c r="P37" s="11" t="s">
        <v>35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9"/>
    </row>
    <row r="38" spans="1:29" ht="12.75">
      <c r="A38" s="1" t="s">
        <v>20</v>
      </c>
      <c r="B38" s="10">
        <f>SUM(B24:B37)</f>
        <v>50230829</v>
      </c>
      <c r="C38" s="10">
        <f aca="true" t="shared" si="5" ref="C38:M38">SUM(C24:C37)</f>
        <v>45695902</v>
      </c>
      <c r="D38" s="10">
        <f t="shared" si="5"/>
        <v>65896539</v>
      </c>
      <c r="E38" s="10">
        <f t="shared" si="5"/>
        <v>68620117</v>
      </c>
      <c r="F38" s="10">
        <f t="shared" si="5"/>
        <v>66533299</v>
      </c>
      <c r="G38" s="10">
        <f t="shared" si="5"/>
        <v>66752152</v>
      </c>
      <c r="H38" s="10">
        <f t="shared" si="5"/>
        <v>51562183</v>
      </c>
      <c r="I38" s="10">
        <f t="shared" si="5"/>
        <v>49340524</v>
      </c>
      <c r="J38" s="10">
        <v>0</v>
      </c>
      <c r="K38" s="10">
        <f t="shared" si="5"/>
        <v>53128032</v>
      </c>
      <c r="L38" s="10">
        <f t="shared" si="5"/>
        <v>53615468</v>
      </c>
      <c r="M38" s="10">
        <f t="shared" si="5"/>
        <v>73756364</v>
      </c>
      <c r="N38" s="10">
        <f t="shared" si="4"/>
        <v>645131409</v>
      </c>
      <c r="P38" s="1" t="s">
        <v>20</v>
      </c>
      <c r="Q38" s="10">
        <f>SUM(Q24:Q37)</f>
        <v>22585531</v>
      </c>
      <c r="R38" s="10">
        <f>SUM(R24:R37)</f>
        <v>20499326</v>
      </c>
      <c r="S38" s="10">
        <f aca="true" t="shared" si="6" ref="S38:AC38">SUM(S24:S37)</f>
        <v>18166189</v>
      </c>
      <c r="T38" s="10">
        <f t="shared" si="6"/>
        <v>17043400</v>
      </c>
      <c r="U38" s="10">
        <f t="shared" si="6"/>
        <v>17606600</v>
      </c>
      <c r="V38" s="10">
        <f t="shared" si="6"/>
        <v>17610114</v>
      </c>
      <c r="W38" s="10">
        <f t="shared" si="6"/>
        <v>14407415</v>
      </c>
      <c r="X38" s="10">
        <f t="shared" si="6"/>
        <v>13738342</v>
      </c>
      <c r="Y38" s="10">
        <f t="shared" si="6"/>
        <v>12800422</v>
      </c>
      <c r="Z38" s="10">
        <f t="shared" si="6"/>
        <v>13044290</v>
      </c>
      <c r="AA38" s="10">
        <f t="shared" si="6"/>
        <v>13433580</v>
      </c>
      <c r="AB38" s="10">
        <f t="shared" si="6"/>
        <v>16368875</v>
      </c>
      <c r="AC38" s="10">
        <f t="shared" si="6"/>
        <v>197220796</v>
      </c>
    </row>
    <row r="39" spans="1:16" ht="12.75">
      <c r="A39" s="5" t="s">
        <v>24</v>
      </c>
      <c r="P39" s="5" t="s">
        <v>24</v>
      </c>
    </row>
    <row r="41" spans="1:16" ht="12.75">
      <c r="A41" t="s">
        <v>38</v>
      </c>
      <c r="P41" t="s">
        <v>39</v>
      </c>
    </row>
    <row r="42" spans="1:16" ht="12.75">
      <c r="A42" t="s">
        <v>32</v>
      </c>
      <c r="P42" t="s">
        <v>32</v>
      </c>
    </row>
    <row r="43" spans="1:29" ht="12.75">
      <c r="A43" s="1" t="s">
        <v>21</v>
      </c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7</v>
      </c>
      <c r="J43" s="2" t="s">
        <v>8</v>
      </c>
      <c r="K43" s="2" t="s">
        <v>28</v>
      </c>
      <c r="L43" s="2" t="s">
        <v>29</v>
      </c>
      <c r="M43" s="2" t="s">
        <v>30</v>
      </c>
      <c r="N43" s="6" t="s">
        <v>25</v>
      </c>
      <c r="P43" s="1" t="s">
        <v>21</v>
      </c>
      <c r="Q43" s="2" t="s">
        <v>0</v>
      </c>
      <c r="R43" s="2" t="s">
        <v>1</v>
      </c>
      <c r="S43" s="2" t="s">
        <v>2</v>
      </c>
      <c r="T43" s="2" t="s">
        <v>3</v>
      </c>
      <c r="U43" s="2" t="s">
        <v>4</v>
      </c>
      <c r="V43" s="2" t="s">
        <v>5</v>
      </c>
      <c r="W43" s="2" t="s">
        <v>6</v>
      </c>
      <c r="X43" s="2" t="s">
        <v>7</v>
      </c>
      <c r="Y43" s="2" t="s">
        <v>8</v>
      </c>
      <c r="Z43" s="2" t="s">
        <v>28</v>
      </c>
      <c r="AA43" s="2" t="s">
        <v>29</v>
      </c>
      <c r="AB43" s="2" t="s">
        <v>30</v>
      </c>
      <c r="AC43" s="6" t="s">
        <v>25</v>
      </c>
    </row>
    <row r="44" spans="1:29" ht="12.75">
      <c r="A44" s="3" t="s">
        <v>9</v>
      </c>
      <c r="B44" s="14">
        <f>B24/B4</f>
        <v>5259.390430622009</v>
      </c>
      <c r="C44" s="14">
        <f aca="true" t="shared" si="7" ref="C44:H47">C24/C4</f>
        <v>5477.524221453287</v>
      </c>
      <c r="D44" s="14">
        <f t="shared" si="7"/>
        <v>5949.943367540859</v>
      </c>
      <c r="E44" s="14">
        <f t="shared" si="7"/>
        <v>5991.748851253775</v>
      </c>
      <c r="F44" s="14">
        <f t="shared" si="7"/>
        <v>78077.52612612613</v>
      </c>
      <c r="G44" s="14">
        <f t="shared" si="7"/>
        <v>5382.024167312161</v>
      </c>
      <c r="H44" s="14">
        <f t="shared" si="7"/>
        <v>4968.751311267861</v>
      </c>
      <c r="I44" s="14">
        <f aca="true" t="shared" si="8" ref="I44:N45">I24/I4</f>
        <v>5066.296813462227</v>
      </c>
      <c r="J44" s="14">
        <f t="shared" si="8"/>
        <v>4591.381309599491</v>
      </c>
      <c r="K44" s="14">
        <f t="shared" si="8"/>
        <v>4790.4924821946715</v>
      </c>
      <c r="L44" s="14">
        <f t="shared" si="8"/>
        <v>4907.484464627151</v>
      </c>
      <c r="M44" s="14">
        <f t="shared" si="8"/>
        <v>5102.051195164392</v>
      </c>
      <c r="N44" s="14">
        <f t="shared" si="8"/>
        <v>5721.927219526649</v>
      </c>
      <c r="P44" s="3" t="s">
        <v>9</v>
      </c>
      <c r="Q44" s="14">
        <f>Q24/Q4</f>
        <v>3448.0052405907577</v>
      </c>
      <c r="R44" s="14">
        <f aca="true" t="shared" si="9" ref="R44:AB47">R24/R4</f>
        <v>3627.3404609170825</v>
      </c>
      <c r="S44" s="14">
        <f t="shared" si="9"/>
        <v>3334.768720379147</v>
      </c>
      <c r="T44" s="14">
        <f t="shared" si="9"/>
        <v>3344.9320360970105</v>
      </c>
      <c r="U44" s="14">
        <f t="shared" si="9"/>
        <v>3355.6291003572587</v>
      </c>
      <c r="V44" s="14">
        <f t="shared" si="9"/>
        <v>3207.6938838869914</v>
      </c>
      <c r="W44" s="14">
        <f t="shared" si="9"/>
        <v>2856.418445539135</v>
      </c>
      <c r="X44" s="14">
        <f t="shared" si="9"/>
        <v>2764.7522315390856</v>
      </c>
      <c r="Y44" s="14">
        <f t="shared" si="9"/>
        <v>2686.8059314713505</v>
      </c>
      <c r="Z44" s="14">
        <f t="shared" si="9"/>
        <v>2892.226736566186</v>
      </c>
      <c r="AA44" s="14">
        <f t="shared" si="9"/>
        <v>3011.3100609756098</v>
      </c>
      <c r="AB44" s="14">
        <f t="shared" si="9"/>
        <v>3267.12313226342</v>
      </c>
      <c r="AC44" s="14">
        <f>AC24/AC4</f>
        <v>3164.477348935088</v>
      </c>
    </row>
    <row r="45" spans="1:29" ht="12.75">
      <c r="A45" s="4" t="s">
        <v>27</v>
      </c>
      <c r="B45" s="15">
        <f>B25/B5</f>
        <v>4743.363636363636</v>
      </c>
      <c r="C45" s="15">
        <f t="shared" si="7"/>
        <v>4871.870967741936</v>
      </c>
      <c r="D45" s="15">
        <f t="shared" si="7"/>
        <v>4183.674242424242</v>
      </c>
      <c r="E45" s="15">
        <f t="shared" si="7"/>
        <v>4904.086538461538</v>
      </c>
      <c r="F45" s="15">
        <f t="shared" si="7"/>
        <v>4709.821428571428</v>
      </c>
      <c r="G45" s="15">
        <f t="shared" si="7"/>
        <v>5003.525547445255</v>
      </c>
      <c r="H45" s="15">
        <f t="shared" si="7"/>
        <v>5175.833333333333</v>
      </c>
      <c r="I45" s="15">
        <f t="shared" si="8"/>
        <v>7999</v>
      </c>
      <c r="J45" s="15">
        <f t="shared" si="8"/>
        <v>4669</v>
      </c>
      <c r="K45" s="15">
        <f t="shared" si="8"/>
        <v>5585.745454545455</v>
      </c>
      <c r="L45" s="15">
        <f t="shared" si="8"/>
        <v>4427.53125</v>
      </c>
      <c r="M45" s="15">
        <f t="shared" si="8"/>
        <v>4640.790697674419</v>
      </c>
      <c r="N45" s="15">
        <f t="shared" si="8"/>
        <v>4771.248541423571</v>
      </c>
      <c r="P45" s="4" t="s">
        <v>27</v>
      </c>
      <c r="Q45" s="15">
        <f>Q25/Q5</f>
        <v>4309.727272727273</v>
      </c>
      <c r="R45" s="15">
        <f t="shared" si="9"/>
        <v>2810.3571428571427</v>
      </c>
      <c r="S45" s="15">
        <f t="shared" si="9"/>
        <v>4570.388888888889</v>
      </c>
      <c r="T45" s="15">
        <f t="shared" si="9"/>
        <v>4670.80198019802</v>
      </c>
      <c r="U45" s="15">
        <f t="shared" si="9"/>
        <v>3653.3214285714284</v>
      </c>
      <c r="V45" s="15">
        <f t="shared" si="9"/>
        <v>2927.84</v>
      </c>
      <c r="W45" s="15">
        <f t="shared" si="9"/>
        <v>2534.4166666666665</v>
      </c>
      <c r="X45" s="15">
        <f>X25/X5</f>
        <v>4515.6</v>
      </c>
      <c r="Y45" s="15">
        <f>Y25/Y5</f>
        <v>4356.375</v>
      </c>
      <c r="Z45" s="15">
        <f>Z25/Z5</f>
        <v>5075</v>
      </c>
      <c r="AA45" s="15">
        <f>AA25/AA5</f>
        <v>2707.6</v>
      </c>
      <c r="AB45" s="15">
        <f>AB25/AB5</f>
        <v>2532.1153846153848</v>
      </c>
      <c r="AC45" s="15">
        <f>AC25/AC5</f>
        <v>3845.1275362318843</v>
      </c>
    </row>
    <row r="46" spans="1:29" ht="12.75">
      <c r="A46" s="4" t="s">
        <v>10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P46" s="4" t="s">
        <v>10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2.75">
      <c r="A47" s="4" t="s">
        <v>33</v>
      </c>
      <c r="B47" s="15">
        <f>B27/B7</f>
        <v>6813.801261829653</v>
      </c>
      <c r="C47" s="15">
        <f t="shared" si="7"/>
        <v>7086.242307692308</v>
      </c>
      <c r="D47" s="15">
        <f t="shared" si="7"/>
        <v>6721.688524590164</v>
      </c>
      <c r="E47" s="15">
        <f t="shared" si="7"/>
        <v>6865.2441860465115</v>
      </c>
      <c r="F47" s="15">
        <f t="shared" si="7"/>
        <v>6723.498395721925</v>
      </c>
      <c r="G47" s="15">
        <f t="shared" si="7"/>
        <v>6748.928355196771</v>
      </c>
      <c r="H47" s="15">
        <f t="shared" si="7"/>
        <v>6405.573734409391</v>
      </c>
      <c r="I47" s="15">
        <f aca="true" t="shared" si="10" ref="I47:N47">I27/I7</f>
        <v>6424.8430813124105</v>
      </c>
      <c r="J47" s="15">
        <f t="shared" si="10"/>
        <v>6586.622754491018</v>
      </c>
      <c r="K47" s="15">
        <f t="shared" si="10"/>
        <v>6255.435458786937</v>
      </c>
      <c r="L47" s="15">
        <f t="shared" si="10"/>
        <v>6158.829039812646</v>
      </c>
      <c r="M47" s="15">
        <f t="shared" si="10"/>
        <v>6438.450980392156</v>
      </c>
      <c r="N47" s="15">
        <f t="shared" si="10"/>
        <v>6580.698642742121</v>
      </c>
      <c r="P47" s="4" t="s">
        <v>33</v>
      </c>
      <c r="Q47" s="15">
        <f>Q27/Q7</f>
        <v>3219.277777777778</v>
      </c>
      <c r="R47" s="15">
        <f t="shared" si="9"/>
        <v>3526.1666666666665</v>
      </c>
      <c r="S47" s="15">
        <f t="shared" si="9"/>
        <v>3312.7709923664124</v>
      </c>
      <c r="T47" s="15">
        <f t="shared" si="9"/>
        <v>3191.64</v>
      </c>
      <c r="U47" s="15">
        <f t="shared" si="9"/>
        <v>3301.609195402299</v>
      </c>
      <c r="V47" s="15">
        <f t="shared" si="9"/>
        <v>3019.9210526315787</v>
      </c>
      <c r="W47" s="15">
        <f t="shared" si="9"/>
        <v>2967</v>
      </c>
      <c r="X47" s="15">
        <f>X27/X7</f>
        <v>3235.1428571428573</v>
      </c>
      <c r="Y47" s="15"/>
      <c r="Z47" s="15"/>
      <c r="AA47" s="15">
        <f>AA27/AA7</f>
        <v>2953.809523809524</v>
      </c>
      <c r="AB47" s="15"/>
      <c r="AC47" s="15">
        <f aca="true" t="shared" si="11" ref="AC47:AC58">AC27/AC7</f>
        <v>3080.555910543131</v>
      </c>
    </row>
    <row r="48" spans="1:29" ht="12.75">
      <c r="A48" s="4" t="s">
        <v>11</v>
      </c>
      <c r="B48" s="15"/>
      <c r="C48" s="15">
        <v>11756.495</v>
      </c>
      <c r="D48" s="15">
        <v>14563.769</v>
      </c>
      <c r="E48" s="15"/>
      <c r="F48" s="15"/>
      <c r="G48" s="15"/>
      <c r="H48" s="15"/>
      <c r="I48" s="15"/>
      <c r="J48" s="15"/>
      <c r="K48" s="15"/>
      <c r="L48" s="15">
        <f>L28/L8</f>
        <v>12217</v>
      </c>
      <c r="M48" s="15"/>
      <c r="N48" s="15">
        <f>N28/N8</f>
        <v>78522</v>
      </c>
      <c r="P48" s="4" t="s">
        <v>11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2.75">
      <c r="A49" s="4" t="s">
        <v>12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P49" s="4" t="s">
        <v>12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2.75">
      <c r="A50" s="4" t="s">
        <v>13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P50" s="4" t="s">
        <v>13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2.75">
      <c r="A51" s="4" t="s">
        <v>14</v>
      </c>
      <c r="B51" s="15">
        <f>B31/B11</f>
        <v>4399.787677725119</v>
      </c>
      <c r="C51" s="15">
        <f aca="true" t="shared" si="12" ref="C51:H55">C31/C11</f>
        <v>4883.001408450704</v>
      </c>
      <c r="D51" s="15">
        <f t="shared" si="12"/>
        <v>4999.8203125</v>
      </c>
      <c r="E51" s="15">
        <f t="shared" si="12"/>
        <v>4751.825164594002</v>
      </c>
      <c r="F51" s="15">
        <f t="shared" si="12"/>
        <v>4883.323762981063</v>
      </c>
      <c r="G51" s="15">
        <f t="shared" si="12"/>
        <v>5020.499401913876</v>
      </c>
      <c r="H51" s="15">
        <f t="shared" si="12"/>
        <v>4189.996765847348</v>
      </c>
      <c r="I51" s="15">
        <f aca="true" t="shared" si="13" ref="I51:M55">I31/I11</f>
        <v>3999.6210986267165</v>
      </c>
      <c r="J51" s="15">
        <f t="shared" si="13"/>
        <v>3819.340062111801</v>
      </c>
      <c r="K51" s="15">
        <f t="shared" si="13"/>
        <v>4084.014358108108</v>
      </c>
      <c r="L51" s="15">
        <f t="shared" si="13"/>
        <v>5189.21511627907</v>
      </c>
      <c r="M51" s="15">
        <f t="shared" si="13"/>
        <v>5890.6375</v>
      </c>
      <c r="N51" s="15">
        <f aca="true" t="shared" si="14" ref="N51:N56">N31/N11</f>
        <v>4555.529926901643</v>
      </c>
      <c r="P51" s="4" t="s">
        <v>14</v>
      </c>
      <c r="Q51" s="15">
        <f>Q31/Q11</f>
        <v>2312.5197906444228</v>
      </c>
      <c r="R51" s="15">
        <f aca="true" t="shared" si="15" ref="R51:X51">R31/R11</f>
        <v>2481.5886951292846</v>
      </c>
      <c r="S51" s="15">
        <f t="shared" si="15"/>
        <v>2454.1027801179443</v>
      </c>
      <c r="T51" s="15">
        <f t="shared" si="15"/>
        <v>2386.9799513973267</v>
      </c>
      <c r="U51" s="15">
        <f t="shared" si="15"/>
        <v>2291.6915313734094</v>
      </c>
      <c r="V51" s="15">
        <f t="shared" si="15"/>
        <v>2483.536261914629</v>
      </c>
      <c r="W51" s="15">
        <f t="shared" si="15"/>
        <v>2436.7135627530365</v>
      </c>
      <c r="X51" s="15">
        <f t="shared" si="15"/>
        <v>2876.174269005848</v>
      </c>
      <c r="Y51" s="15">
        <f>Y31/Y11</f>
        <v>2614.623336745138</v>
      </c>
      <c r="Z51" s="15">
        <f>Z31/Z11</f>
        <v>2364.5576923076924</v>
      </c>
      <c r="AA51" s="15">
        <f>AA31/AA11</f>
        <v>2677.021712907117</v>
      </c>
      <c r="AB51" s="15">
        <f>AB31/AB11</f>
        <v>2917.685975609756</v>
      </c>
      <c r="AC51" s="15">
        <f t="shared" si="11"/>
        <v>2465.5106058957904</v>
      </c>
    </row>
    <row r="52" spans="1:29" ht="12.75">
      <c r="A52" s="4" t="s">
        <v>15</v>
      </c>
      <c r="B52" s="15">
        <f>B32/B12</f>
        <v>5216.693877551021</v>
      </c>
      <c r="C52" s="15">
        <f t="shared" si="12"/>
        <v>5472.886363636364</v>
      </c>
      <c r="D52" s="15">
        <f t="shared" si="12"/>
        <v>5558.359281437126</v>
      </c>
      <c r="E52" s="15">
        <f t="shared" si="12"/>
        <v>5823.64705882353</v>
      </c>
      <c r="F52" s="15">
        <f t="shared" si="12"/>
        <v>5674.325</v>
      </c>
      <c r="G52" s="15">
        <f t="shared" si="12"/>
        <v>5788.440677966101</v>
      </c>
      <c r="H52" s="15">
        <f t="shared" si="12"/>
        <v>5369.411764705882</v>
      </c>
      <c r="I52" s="15">
        <f t="shared" si="13"/>
        <v>5197.532467532467</v>
      </c>
      <c r="J52" s="15">
        <f t="shared" si="13"/>
        <v>4993.868421052632</v>
      </c>
      <c r="K52" s="15">
        <f t="shared" si="13"/>
        <v>4692.290322580645</v>
      </c>
      <c r="L52" s="15">
        <f t="shared" si="13"/>
        <v>541.4567901234568</v>
      </c>
      <c r="M52" s="15">
        <f t="shared" si="13"/>
        <v>5832.166666666667</v>
      </c>
      <c r="N52" s="15">
        <f t="shared" si="14"/>
        <v>5041.849717514125</v>
      </c>
      <c r="P52" s="4" t="s">
        <v>15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2.75">
      <c r="A53" s="4" t="s">
        <v>16</v>
      </c>
      <c r="B53" s="15">
        <f>B33/B13</f>
        <v>6240.76617954071</v>
      </c>
      <c r="C53" s="15">
        <f t="shared" si="12"/>
        <v>6553.183417085427</v>
      </c>
      <c r="D53" s="15">
        <f t="shared" si="12"/>
        <v>6432.62987012987</v>
      </c>
      <c r="E53" s="15">
        <f t="shared" si="12"/>
        <v>6372.608695652174</v>
      </c>
      <c r="F53" s="15">
        <f t="shared" si="12"/>
        <v>6210.640552995392</v>
      </c>
      <c r="G53" s="15">
        <f t="shared" si="12"/>
        <v>6157.537362637363</v>
      </c>
      <c r="H53" s="15">
        <f t="shared" si="12"/>
        <v>5897.783042394015</v>
      </c>
      <c r="I53" s="15">
        <f t="shared" si="13"/>
        <v>6233.173184357542</v>
      </c>
      <c r="J53" s="15">
        <f t="shared" si="13"/>
        <v>5756.191860465116</v>
      </c>
      <c r="K53" s="15">
        <f t="shared" si="13"/>
        <v>5920.319306930693</v>
      </c>
      <c r="L53" s="15">
        <f t="shared" si="13"/>
        <v>6658.899122807017</v>
      </c>
      <c r="M53" s="15">
        <f t="shared" si="13"/>
        <v>7919.0888888888885</v>
      </c>
      <c r="N53" s="15">
        <f t="shared" si="14"/>
        <v>6402.704128440367</v>
      </c>
      <c r="P53" s="4" t="s">
        <v>16</v>
      </c>
      <c r="Q53" s="15">
        <f>Q33/Q13</f>
        <v>2829.125</v>
      </c>
      <c r="R53" s="15">
        <f aca="true" t="shared" si="16" ref="R53:X54">R33/R13</f>
        <v>3052.073529411765</v>
      </c>
      <c r="S53" s="15">
        <f t="shared" si="16"/>
        <v>3005.0545454545454</v>
      </c>
      <c r="T53" s="15">
        <f t="shared" si="16"/>
        <v>2878.1111111111113</v>
      </c>
      <c r="U53" s="15">
        <f t="shared" si="16"/>
        <v>3667.3216783216785</v>
      </c>
      <c r="V53" s="15">
        <f t="shared" si="16"/>
        <v>4887.705882352941</v>
      </c>
      <c r="W53" s="15">
        <f t="shared" si="16"/>
        <v>4055.134328358209</v>
      </c>
      <c r="X53" s="15">
        <f t="shared" si="16"/>
        <v>3605.554054054054</v>
      </c>
      <c r="Y53" s="15">
        <f aca="true" t="shared" si="17" ref="Y53:AB54">Y33/Y13</f>
        <v>2793.0087719298244</v>
      </c>
      <c r="Z53" s="15">
        <f t="shared" si="17"/>
        <v>2145.8815789473683</v>
      </c>
      <c r="AA53" s="15">
        <f t="shared" si="17"/>
        <v>3152.6349206349205</v>
      </c>
      <c r="AB53" s="15">
        <f t="shared" si="17"/>
        <v>5436.1626506024095</v>
      </c>
      <c r="AC53" s="15">
        <f t="shared" si="11"/>
        <v>3638.02416918429</v>
      </c>
    </row>
    <row r="54" spans="1:29" ht="12.75">
      <c r="A54" s="4" t="s">
        <v>17</v>
      </c>
      <c r="B54" s="15">
        <f>B34/B14</f>
        <v>5743.328205128205</v>
      </c>
      <c r="C54" s="15">
        <f aca="true" t="shared" si="18" ref="C54:H54">C34/C14</f>
        <v>6047.641456582633</v>
      </c>
      <c r="D54" s="15">
        <f t="shared" si="18"/>
        <v>5959.223454833597</v>
      </c>
      <c r="E54" s="15">
        <f t="shared" si="18"/>
        <v>6816.997772828508</v>
      </c>
      <c r="F54" s="15">
        <f t="shared" si="18"/>
        <v>6883.94976076555</v>
      </c>
      <c r="G54" s="15">
        <f t="shared" si="18"/>
        <v>7066.883392226148</v>
      </c>
      <c r="H54" s="15">
        <f t="shared" si="18"/>
        <v>6327.675485008818</v>
      </c>
      <c r="I54" s="15">
        <f t="shared" si="13"/>
        <v>7146.098648648649</v>
      </c>
      <c r="J54" s="15">
        <f t="shared" si="13"/>
        <v>7201.597156398104</v>
      </c>
      <c r="K54" s="15">
        <f t="shared" si="13"/>
        <v>7117.289099526066</v>
      </c>
      <c r="L54" s="15">
        <f t="shared" si="13"/>
        <v>6888.202268431002</v>
      </c>
      <c r="M54" s="15">
        <f t="shared" si="13"/>
        <v>7781.591743119266</v>
      </c>
      <c r="N54" s="15">
        <f t="shared" si="14"/>
        <v>6710.952878787879</v>
      </c>
      <c r="P54" s="4" t="s">
        <v>17</v>
      </c>
      <c r="Q54" s="15">
        <f>Q34/Q14</f>
        <v>2804.8863636363635</v>
      </c>
      <c r="R54" s="15">
        <f t="shared" si="16"/>
        <v>2839.345864661654</v>
      </c>
      <c r="S54" s="15">
        <f t="shared" si="16"/>
        <v>2640.8706896551726</v>
      </c>
      <c r="T54" s="15">
        <f t="shared" si="16"/>
        <v>2761.287610619469</v>
      </c>
      <c r="U54" s="15">
        <f t="shared" si="16"/>
        <v>2458.534682080925</v>
      </c>
      <c r="V54" s="15">
        <f t="shared" si="16"/>
        <v>2820.265306122449</v>
      </c>
      <c r="W54" s="15">
        <f t="shared" si="16"/>
        <v>2664.1971830985917</v>
      </c>
      <c r="X54" s="15">
        <f t="shared" si="16"/>
        <v>2968.6313559322034</v>
      </c>
      <c r="Y54" s="15">
        <f t="shared" si="17"/>
        <v>2915.822857142857</v>
      </c>
      <c r="Z54" s="15">
        <f t="shared" si="17"/>
        <v>2684.9944444444445</v>
      </c>
      <c r="AA54" s="15">
        <f t="shared" si="17"/>
        <v>2692.75</v>
      </c>
      <c r="AB54" s="15">
        <f t="shared" si="17"/>
        <v>3066.6943231441046</v>
      </c>
      <c r="AC54" s="15">
        <f t="shared" si="11"/>
        <v>2768.32430246664</v>
      </c>
    </row>
    <row r="55" spans="1:29" ht="12.75">
      <c r="A55" s="4" t="s">
        <v>18</v>
      </c>
      <c r="B55" s="15">
        <f>B35/B15</f>
        <v>6193.939814814815</v>
      </c>
      <c r="C55" s="15">
        <f t="shared" si="12"/>
        <v>6929.754385964912</v>
      </c>
      <c r="D55" s="15">
        <f t="shared" si="12"/>
        <v>6717.454819277108</v>
      </c>
      <c r="E55" s="15">
        <f t="shared" si="12"/>
        <v>6549.086629001883</v>
      </c>
      <c r="F55" s="15">
        <f t="shared" si="12"/>
        <v>5783.557275541796</v>
      </c>
      <c r="G55" s="15">
        <f t="shared" si="12"/>
        <v>5796.46186440678</v>
      </c>
      <c r="H55" s="15">
        <f t="shared" si="12"/>
        <v>5797.08</v>
      </c>
      <c r="I55" s="15">
        <f t="shared" si="13"/>
        <v>5895.658602150537</v>
      </c>
      <c r="J55" s="15">
        <f t="shared" si="13"/>
        <v>5887.25</v>
      </c>
      <c r="K55" s="15">
        <f t="shared" si="13"/>
        <v>5464.513020833333</v>
      </c>
      <c r="L55" s="15">
        <f t="shared" si="13"/>
        <v>5367.697860962567</v>
      </c>
      <c r="M55" s="15">
        <f t="shared" si="13"/>
        <v>5754.875255623722</v>
      </c>
      <c r="N55" s="15">
        <f t="shared" si="14"/>
        <v>5944.744722102542</v>
      </c>
      <c r="P55" s="4" t="s">
        <v>18</v>
      </c>
      <c r="Q55" s="15"/>
      <c r="R55" s="15"/>
      <c r="S55" s="15"/>
      <c r="T55" s="15"/>
      <c r="U55" s="15"/>
      <c r="V55" s="15">
        <v>2626.134</v>
      </c>
      <c r="W55" s="15"/>
      <c r="X55" s="15"/>
      <c r="Y55" s="15">
        <f>Y35/Y15</f>
        <v>2691.315789473684</v>
      </c>
      <c r="Z55" s="15"/>
      <c r="AA55" s="15"/>
      <c r="AB55" s="15"/>
      <c r="AC55" s="15">
        <f t="shared" si="11"/>
        <v>2629.871794871795</v>
      </c>
    </row>
    <row r="56" spans="1:29" ht="12.75">
      <c r="A56" s="4" t="s">
        <v>19</v>
      </c>
      <c r="B56" s="15"/>
      <c r="C56" s="15"/>
      <c r="D56" s="15">
        <v>5433.719</v>
      </c>
      <c r="E56" s="15">
        <v>5823.246</v>
      </c>
      <c r="F56" s="15">
        <v>7461.87</v>
      </c>
      <c r="G56" s="15">
        <v>4969.607</v>
      </c>
      <c r="H56" s="15"/>
      <c r="I56" s="15"/>
      <c r="J56" s="15"/>
      <c r="K56" s="15"/>
      <c r="L56" s="15"/>
      <c r="M56" s="15"/>
      <c r="N56" s="15">
        <f t="shared" si="14"/>
        <v>6226.832402234637</v>
      </c>
      <c r="P56" s="4" t="s">
        <v>19</v>
      </c>
      <c r="Q56" s="15"/>
      <c r="R56" s="15"/>
      <c r="S56" s="15">
        <v>6392.956</v>
      </c>
      <c r="T56" s="15"/>
      <c r="U56" s="15"/>
      <c r="V56" s="15"/>
      <c r="W56" s="15"/>
      <c r="X56" s="15"/>
      <c r="Y56" s="15"/>
      <c r="Z56" s="15"/>
      <c r="AA56" s="15"/>
      <c r="AB56" s="15">
        <f>AB36/AB16</f>
        <v>6659.333333333333</v>
      </c>
      <c r="AC56" s="15">
        <f t="shared" si="11"/>
        <v>4007.4285714285716</v>
      </c>
    </row>
    <row r="57" spans="1:29" ht="12.75">
      <c r="A57" s="11" t="s">
        <v>26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8"/>
      <c r="P57" s="11" t="s">
        <v>35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8"/>
    </row>
    <row r="58" spans="1:29" ht="12.75">
      <c r="A58" s="1" t="s">
        <v>20</v>
      </c>
      <c r="B58" s="17">
        <f>B38/B18</f>
        <v>5347.687533269456</v>
      </c>
      <c r="C58" s="17">
        <f aca="true" t="shared" si="19" ref="C58:H58">C38/C18</f>
        <v>5561.81864654333</v>
      </c>
      <c r="D58" s="17">
        <f t="shared" si="19"/>
        <v>5912.654912516824</v>
      </c>
      <c r="E58" s="17">
        <f t="shared" si="19"/>
        <v>5954.023167028199</v>
      </c>
      <c r="F58" s="17">
        <f t="shared" si="19"/>
        <v>14587.43674632756</v>
      </c>
      <c r="G58" s="17">
        <f t="shared" si="19"/>
        <v>5647.390186125212</v>
      </c>
      <c r="H58" s="17">
        <f t="shared" si="19"/>
        <v>5197.8007056451615</v>
      </c>
      <c r="I58" s="17">
        <f aca="true" t="shared" si="20" ref="I58:N58">I38/I18</f>
        <v>5227.858020767112</v>
      </c>
      <c r="J58" s="14">
        <f t="shared" si="20"/>
        <v>0</v>
      </c>
      <c r="K58" s="14">
        <f t="shared" si="20"/>
        <v>4962.917515179823</v>
      </c>
      <c r="L58" s="14">
        <f t="shared" si="20"/>
        <v>5119.8880825057295</v>
      </c>
      <c r="M58" s="17">
        <f t="shared" si="20"/>
        <v>5420.8704983095695</v>
      </c>
      <c r="N58" s="17">
        <f t="shared" si="20"/>
        <v>5273.2232775602615</v>
      </c>
      <c r="P58" s="1" t="s">
        <v>20</v>
      </c>
      <c r="Q58" s="17">
        <f>Q38/Q18</f>
        <v>2967.485350151097</v>
      </c>
      <c r="R58" s="17">
        <f aca="true" t="shared" si="21" ref="R58:AB58">R38/R18</f>
        <v>3278.8429302623163</v>
      </c>
      <c r="S58" s="17">
        <f t="shared" si="21"/>
        <v>3150.0241026530257</v>
      </c>
      <c r="T58" s="17">
        <f t="shared" si="21"/>
        <v>3059.307126189194</v>
      </c>
      <c r="U58" s="17">
        <f t="shared" si="21"/>
        <v>2910.662919490825</v>
      </c>
      <c r="V58" s="17">
        <f t="shared" si="21"/>
        <v>2936.487243621811</v>
      </c>
      <c r="W58" s="17">
        <f t="shared" si="21"/>
        <v>2801.3639898891697</v>
      </c>
      <c r="X58" s="17">
        <f t="shared" si="21"/>
        <v>2810.62643207856</v>
      </c>
      <c r="Y58" s="17">
        <f t="shared" si="21"/>
        <v>2685.7788501888376</v>
      </c>
      <c r="Z58" s="17">
        <f t="shared" si="21"/>
        <v>2707.969690678846</v>
      </c>
      <c r="AA58" s="17">
        <f t="shared" si="21"/>
        <v>2945.9605263157896</v>
      </c>
      <c r="AB58" s="17">
        <f t="shared" si="21"/>
        <v>3259.4334926324173</v>
      </c>
      <c r="AC58" s="17">
        <f t="shared" si="11"/>
        <v>2968.270487485514</v>
      </c>
    </row>
    <row r="59" spans="1:16" ht="12.75">
      <c r="A59" s="5" t="s">
        <v>24</v>
      </c>
      <c r="P59" s="5" t="s">
        <v>24</v>
      </c>
    </row>
    <row r="126" ht="12.75">
      <c r="B126" s="41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workbookViewId="0" topLeftCell="A1">
      <selection activeCell="P85" sqref="P85"/>
    </sheetView>
  </sheetViews>
  <sheetFormatPr defaultColWidth="11.421875" defaultRowHeight="12.75"/>
  <cols>
    <col min="1" max="1" width="20.57421875" style="0" bestFit="1" customWidth="1"/>
    <col min="2" max="12" width="10.7109375" style="0" customWidth="1"/>
    <col min="13" max="13" width="12.851562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40</v>
      </c>
      <c r="P1" t="s">
        <v>41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6" t="s">
        <v>25</v>
      </c>
    </row>
    <row r="4" spans="1:29" ht="12.75">
      <c r="A4" s="3" t="s">
        <v>9</v>
      </c>
      <c r="B4" s="7">
        <v>2488</v>
      </c>
      <c r="C4" s="7">
        <f>236+1302+140+56+1144+15+35+298</f>
        <v>3226</v>
      </c>
      <c r="D4" s="7">
        <f>71+1322+98+83+1391+19+31+265+1</f>
        <v>3281</v>
      </c>
      <c r="E4" s="7">
        <v>2277</v>
      </c>
      <c r="F4" s="7">
        <v>3745</v>
      </c>
      <c r="G4" s="7">
        <v>3531</v>
      </c>
      <c r="H4" s="7">
        <v>2026</v>
      </c>
      <c r="I4" s="7">
        <v>3407</v>
      </c>
      <c r="J4" s="7">
        <v>1732</v>
      </c>
      <c r="K4" s="7">
        <v>2050</v>
      </c>
      <c r="L4" s="7">
        <v>3421</v>
      </c>
      <c r="M4" s="7"/>
      <c r="N4" s="7">
        <f>SUM(B4:M4)</f>
        <v>31184</v>
      </c>
      <c r="P4" s="3" t="s">
        <v>9</v>
      </c>
      <c r="Q4" s="7">
        <f>2+913+89+29+84+1+21+76</f>
        <v>1215</v>
      </c>
      <c r="R4" s="7">
        <f>63+738+195+21+57+13+41+113</f>
        <v>1241</v>
      </c>
      <c r="S4" s="7">
        <f>23+843+177+42+52+62+22+54+10</f>
        <v>1285</v>
      </c>
      <c r="T4" s="7">
        <v>1479</v>
      </c>
      <c r="U4" s="7">
        <v>1424</v>
      </c>
      <c r="V4" s="7">
        <v>1078</v>
      </c>
      <c r="W4" s="7">
        <v>1317</v>
      </c>
      <c r="X4" s="7">
        <v>1241</v>
      </c>
      <c r="Y4" s="7">
        <v>1241</v>
      </c>
      <c r="Z4" s="7">
        <v>1668</v>
      </c>
      <c r="AA4" s="7">
        <v>1469</v>
      </c>
      <c r="AB4" s="7"/>
      <c r="AC4" s="7">
        <f>SUM(Q4:AA4)</f>
        <v>14658</v>
      </c>
    </row>
    <row r="5" spans="1:29" ht="12.75">
      <c r="A5" s="4" t="s">
        <v>27</v>
      </c>
      <c r="B5" s="8">
        <f>162+471</f>
        <v>633</v>
      </c>
      <c r="C5" s="8">
        <f>116+570</f>
        <v>686</v>
      </c>
      <c r="D5" s="8">
        <f>12+136+420</f>
        <v>568</v>
      </c>
      <c r="E5" s="8">
        <f>218+498</f>
        <v>716</v>
      </c>
      <c r="F5" s="8">
        <f>119+433</f>
        <v>552</v>
      </c>
      <c r="G5" s="8">
        <f>151+499</f>
        <v>650</v>
      </c>
      <c r="H5" s="8">
        <v>527</v>
      </c>
      <c r="I5" s="8">
        <v>427</v>
      </c>
      <c r="J5" s="8">
        <v>650</v>
      </c>
      <c r="K5" s="8">
        <v>688</v>
      </c>
      <c r="L5" s="8">
        <v>759</v>
      </c>
      <c r="M5" s="8"/>
      <c r="N5" s="8">
        <f aca="true" t="shared" si="0" ref="N5:N18">SUM(B5:M5)</f>
        <v>6856</v>
      </c>
      <c r="P5" s="4" t="s">
        <v>27</v>
      </c>
      <c r="Q5" s="8"/>
      <c r="R5" s="8">
        <v>47</v>
      </c>
      <c r="S5" s="8">
        <v>129</v>
      </c>
      <c r="T5" s="8">
        <v>67</v>
      </c>
      <c r="U5" s="8">
        <v>79</v>
      </c>
      <c r="V5" s="8">
        <v>73</v>
      </c>
      <c r="W5" s="8">
        <v>21</v>
      </c>
      <c r="X5" s="8">
        <v>51</v>
      </c>
      <c r="Y5" s="8">
        <v>39</v>
      </c>
      <c r="Z5" s="8">
        <v>22</v>
      </c>
      <c r="AA5" s="8">
        <v>11</v>
      </c>
      <c r="AB5" s="8"/>
      <c r="AC5" s="8">
        <f aca="true" t="shared" si="1" ref="AC5:AC17">SUM(Q5:AA5)</f>
        <v>539</v>
      </c>
    </row>
    <row r="6" spans="1:29" ht="12.75">
      <c r="A6" s="4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P6" s="4" t="s">
        <v>10</v>
      </c>
      <c r="Q6" s="8"/>
      <c r="R6" s="8"/>
      <c r="S6" s="8">
        <v>8</v>
      </c>
      <c r="T6" s="8"/>
      <c r="U6" s="8"/>
      <c r="V6" s="8"/>
      <c r="W6" s="8"/>
      <c r="X6" s="8"/>
      <c r="Y6" s="8">
        <v>8</v>
      </c>
      <c r="Z6" s="8"/>
      <c r="AA6" s="8"/>
      <c r="AB6" s="8"/>
      <c r="AC6" s="8">
        <f t="shared" si="1"/>
        <v>16</v>
      </c>
    </row>
    <row r="7" spans="1:29" ht="12.75">
      <c r="A7" s="4" t="s">
        <v>33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4" t="s">
        <v>33</v>
      </c>
      <c r="Q7" s="8"/>
      <c r="R7" s="8"/>
      <c r="S7" s="8"/>
      <c r="T7" s="8"/>
      <c r="U7" s="8"/>
      <c r="V7" s="8"/>
      <c r="W7" s="8"/>
      <c r="X7" s="8">
        <v>21</v>
      </c>
      <c r="Y7" s="8"/>
      <c r="Z7" s="8"/>
      <c r="AA7" s="8"/>
      <c r="AB7" s="8"/>
      <c r="AC7" s="8">
        <f t="shared" si="1"/>
        <v>21</v>
      </c>
    </row>
    <row r="8" spans="1:29" ht="12.75">
      <c r="A8" s="4" t="s">
        <v>11</v>
      </c>
      <c r="B8" s="8"/>
      <c r="C8" s="8">
        <v>17</v>
      </c>
      <c r="D8" s="8">
        <v>21</v>
      </c>
      <c r="E8" s="8">
        <v>4</v>
      </c>
      <c r="F8" s="8">
        <v>10</v>
      </c>
      <c r="G8" s="8">
        <v>5</v>
      </c>
      <c r="H8" s="8"/>
      <c r="I8" s="8">
        <v>16</v>
      </c>
      <c r="J8" s="8">
        <v>24</v>
      </c>
      <c r="K8" s="8">
        <v>11</v>
      </c>
      <c r="L8" s="8">
        <v>29</v>
      </c>
      <c r="M8" s="8"/>
      <c r="N8" s="8">
        <f t="shared" si="0"/>
        <v>137</v>
      </c>
      <c r="P8" s="4" t="s">
        <v>11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4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4" t="s">
        <v>12</v>
      </c>
      <c r="Q9" s="8">
        <v>10</v>
      </c>
      <c r="R9" s="8"/>
      <c r="S9" s="8">
        <v>13</v>
      </c>
      <c r="T9" s="8"/>
      <c r="U9" s="8"/>
      <c r="V9" s="8"/>
      <c r="W9" s="8"/>
      <c r="X9" s="8"/>
      <c r="Y9" s="8"/>
      <c r="Z9" s="8"/>
      <c r="AA9" s="8">
        <v>13</v>
      </c>
      <c r="AB9" s="8"/>
      <c r="AC9" s="8">
        <f t="shared" si="1"/>
        <v>36</v>
      </c>
    </row>
    <row r="10" spans="1:29" ht="12.75">
      <c r="A10" s="4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P10" s="4" t="s">
        <v>13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2.75">
      <c r="A11" s="4" t="s">
        <v>14</v>
      </c>
      <c r="B11" s="8">
        <v>1659</v>
      </c>
      <c r="C11" s="8">
        <v>1618</v>
      </c>
      <c r="D11" s="8">
        <v>2685</v>
      </c>
      <c r="E11" s="8">
        <v>2547</v>
      </c>
      <c r="F11" s="8">
        <v>2224</v>
      </c>
      <c r="G11" s="8">
        <v>2734</v>
      </c>
      <c r="H11" s="8">
        <v>2529</v>
      </c>
      <c r="I11" s="8">
        <v>2039</v>
      </c>
      <c r="J11" s="8">
        <v>2035</v>
      </c>
      <c r="K11" s="8">
        <v>1911</v>
      </c>
      <c r="L11" s="8">
        <v>1005</v>
      </c>
      <c r="M11" s="8"/>
      <c r="N11" s="8">
        <f t="shared" si="0"/>
        <v>22986</v>
      </c>
      <c r="P11" s="4" t="s">
        <v>14</v>
      </c>
      <c r="Q11" s="8">
        <v>1787</v>
      </c>
      <c r="R11" s="8">
        <v>1799</v>
      </c>
      <c r="S11" s="8">
        <v>1589</v>
      </c>
      <c r="T11" s="8">
        <v>1797</v>
      </c>
      <c r="U11" s="8">
        <v>320</v>
      </c>
      <c r="V11" s="8">
        <v>285</v>
      </c>
      <c r="W11" s="8">
        <v>2695</v>
      </c>
      <c r="X11" s="8">
        <v>1830</v>
      </c>
      <c r="Y11" s="8">
        <v>1657</v>
      </c>
      <c r="Z11" s="8">
        <v>1934</v>
      </c>
      <c r="AA11" s="8">
        <v>1718</v>
      </c>
      <c r="AB11" s="8"/>
      <c r="AC11" s="8">
        <f t="shared" si="1"/>
        <v>17411</v>
      </c>
    </row>
    <row r="12" spans="1:29" ht="12.75">
      <c r="A12" s="4" t="s">
        <v>15</v>
      </c>
      <c r="B12" s="8">
        <v>1</v>
      </c>
      <c r="C12" s="8">
        <v>1</v>
      </c>
      <c r="D12" s="8">
        <v>1</v>
      </c>
      <c r="E12" s="8">
        <v>21</v>
      </c>
      <c r="F12" s="8"/>
      <c r="G12" s="8"/>
      <c r="H12" s="8"/>
      <c r="I12" s="8"/>
      <c r="J12" s="8"/>
      <c r="K12" s="8"/>
      <c r="L12" s="8">
        <v>1</v>
      </c>
      <c r="M12" s="8"/>
      <c r="N12" s="8">
        <f t="shared" si="0"/>
        <v>25</v>
      </c>
      <c r="P12" s="4" t="s">
        <v>15</v>
      </c>
      <c r="Q12" s="8"/>
      <c r="R12" s="8"/>
      <c r="S12" s="8"/>
      <c r="T12" s="8"/>
      <c r="U12" s="8"/>
      <c r="V12" s="8"/>
      <c r="W12" s="8"/>
      <c r="X12" s="8"/>
      <c r="Y12" s="8"/>
      <c r="Z12" s="8">
        <v>8</v>
      </c>
      <c r="AA12" s="8"/>
      <c r="AB12" s="8"/>
      <c r="AC12" s="8">
        <f t="shared" si="1"/>
        <v>8</v>
      </c>
    </row>
    <row r="13" spans="1:29" ht="12.75">
      <c r="A13" s="4" t="s">
        <v>16</v>
      </c>
      <c r="B13" s="8">
        <v>108</v>
      </c>
      <c r="C13" s="8">
        <v>75</v>
      </c>
      <c r="D13" s="8">
        <v>45</v>
      </c>
      <c r="E13" s="8">
        <v>86</v>
      </c>
      <c r="F13" s="8">
        <v>95</v>
      </c>
      <c r="G13" s="8">
        <v>85</v>
      </c>
      <c r="H13" s="8">
        <v>63</v>
      </c>
      <c r="I13" s="8">
        <v>44</v>
      </c>
      <c r="J13" s="8">
        <v>66</v>
      </c>
      <c r="K13" s="8">
        <v>86</v>
      </c>
      <c r="L13" s="8">
        <v>90</v>
      </c>
      <c r="M13" s="8"/>
      <c r="N13" s="8">
        <f t="shared" si="0"/>
        <v>843</v>
      </c>
      <c r="P13" s="4" t="s">
        <v>16</v>
      </c>
      <c r="Q13" s="8">
        <v>61</v>
      </c>
      <c r="R13" s="8">
        <v>37</v>
      </c>
      <c r="S13" s="8">
        <v>201</v>
      </c>
      <c r="T13" s="8">
        <v>120</v>
      </c>
      <c r="U13" s="8">
        <v>5</v>
      </c>
      <c r="V13" s="8">
        <v>30</v>
      </c>
      <c r="W13" s="8">
        <v>79</v>
      </c>
      <c r="X13" s="8">
        <v>37</v>
      </c>
      <c r="Y13" s="8">
        <v>98</v>
      </c>
      <c r="Z13" s="8">
        <v>83</v>
      </c>
      <c r="AA13" s="8">
        <v>130</v>
      </c>
      <c r="AB13" s="8"/>
      <c r="AC13" s="8">
        <f t="shared" si="1"/>
        <v>881</v>
      </c>
    </row>
    <row r="14" spans="1:29" ht="12.75">
      <c r="A14" s="4" t="s">
        <v>17</v>
      </c>
      <c r="B14" s="8">
        <v>595</v>
      </c>
      <c r="C14" s="8">
        <v>523</v>
      </c>
      <c r="D14" s="8">
        <v>753</v>
      </c>
      <c r="E14" s="8">
        <v>703</v>
      </c>
      <c r="F14" s="8">
        <v>812</v>
      </c>
      <c r="G14" s="8">
        <v>836</v>
      </c>
      <c r="H14" s="8">
        <v>478</v>
      </c>
      <c r="I14" s="8">
        <v>622</v>
      </c>
      <c r="J14" s="8">
        <v>512</v>
      </c>
      <c r="K14" s="8">
        <v>538</v>
      </c>
      <c r="L14" s="8">
        <v>831</v>
      </c>
      <c r="M14" s="8"/>
      <c r="N14" s="8">
        <f t="shared" si="0"/>
        <v>7203</v>
      </c>
      <c r="P14" s="4" t="s">
        <v>17</v>
      </c>
      <c r="Q14" s="8">
        <v>155</v>
      </c>
      <c r="R14" s="8">
        <v>144</v>
      </c>
      <c r="S14" s="8">
        <v>172</v>
      </c>
      <c r="T14" s="8">
        <v>172</v>
      </c>
      <c r="U14" s="8">
        <v>1</v>
      </c>
      <c r="V14" s="8">
        <v>10</v>
      </c>
      <c r="W14" s="8">
        <v>62</v>
      </c>
      <c r="X14" s="8">
        <v>103</v>
      </c>
      <c r="Y14" s="8">
        <v>91</v>
      </c>
      <c r="Z14" s="8">
        <v>146</v>
      </c>
      <c r="AA14" s="8">
        <v>46</v>
      </c>
      <c r="AB14" s="8"/>
      <c r="AC14" s="8">
        <f t="shared" si="1"/>
        <v>1102</v>
      </c>
    </row>
    <row r="15" spans="1:29" ht="12.75">
      <c r="A15" s="4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P15" s="4" t="s">
        <v>18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2.75">
      <c r="A16" s="4" t="s">
        <v>19</v>
      </c>
      <c r="B16" s="8">
        <v>2</v>
      </c>
      <c r="C16" s="8"/>
      <c r="D16" s="8">
        <v>8</v>
      </c>
      <c r="E16" s="8">
        <v>4</v>
      </c>
      <c r="F16" s="8">
        <v>2</v>
      </c>
      <c r="G16" s="8">
        <v>3</v>
      </c>
      <c r="H16" s="8"/>
      <c r="I16" s="8">
        <v>3</v>
      </c>
      <c r="J16" s="8">
        <v>1</v>
      </c>
      <c r="K16" s="8">
        <v>14</v>
      </c>
      <c r="L16" s="8"/>
      <c r="M16" s="8"/>
      <c r="N16" s="8">
        <f t="shared" si="0"/>
        <v>37</v>
      </c>
      <c r="P16" s="4" t="s">
        <v>19</v>
      </c>
      <c r="Q16" s="8"/>
      <c r="R16" s="8"/>
      <c r="S16" s="8">
        <v>7</v>
      </c>
      <c r="T16" s="8"/>
      <c r="U16" s="8"/>
      <c r="V16" s="8">
        <f>V36/V56</f>
        <v>1.386080390498026</v>
      </c>
      <c r="W16" s="8"/>
      <c r="X16" s="8">
        <v>1</v>
      </c>
      <c r="Y16" s="8">
        <v>1</v>
      </c>
      <c r="Z16" s="8"/>
      <c r="AA16" s="8"/>
      <c r="AB16" s="8"/>
      <c r="AC16" s="8">
        <f t="shared" si="1"/>
        <v>14658</v>
      </c>
    </row>
    <row r="17" spans="1:29" ht="12.75">
      <c r="A17" s="11" t="s">
        <v>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 t="s">
        <v>35</v>
      </c>
      <c r="Q17" s="12"/>
      <c r="R17" s="12"/>
      <c r="S17" s="12"/>
      <c r="T17" s="12"/>
      <c r="U17" s="12"/>
      <c r="V17" s="12"/>
      <c r="W17" s="12">
        <v>1</v>
      </c>
      <c r="X17" s="12"/>
      <c r="Y17" s="12"/>
      <c r="Z17" s="12">
        <v>4</v>
      </c>
      <c r="AA17" s="12"/>
      <c r="AB17" s="12"/>
      <c r="AC17" s="9">
        <f t="shared" si="1"/>
        <v>5</v>
      </c>
    </row>
    <row r="18" spans="1:29" ht="12.75">
      <c r="A18" s="1" t="s">
        <v>20</v>
      </c>
      <c r="B18" s="10">
        <f>SUM(B4:B17)</f>
        <v>5486</v>
      </c>
      <c r="C18" s="10">
        <f aca="true" t="shared" si="2" ref="C18:L18">SUM(C4:C17)</f>
        <v>6146</v>
      </c>
      <c r="D18" s="10">
        <f t="shared" si="2"/>
        <v>7362</v>
      </c>
      <c r="E18" s="10">
        <f t="shared" si="2"/>
        <v>6358</v>
      </c>
      <c r="F18" s="10">
        <f t="shared" si="2"/>
        <v>7440</v>
      </c>
      <c r="G18" s="10">
        <f t="shared" si="2"/>
        <v>7844</v>
      </c>
      <c r="H18" s="10">
        <f t="shared" si="2"/>
        <v>5623</v>
      </c>
      <c r="I18" s="10">
        <f t="shared" si="2"/>
        <v>6558</v>
      </c>
      <c r="J18" s="10">
        <f t="shared" si="2"/>
        <v>5020</v>
      </c>
      <c r="K18" s="10">
        <f t="shared" si="2"/>
        <v>5298</v>
      </c>
      <c r="L18" s="10">
        <f t="shared" si="2"/>
        <v>6136</v>
      </c>
      <c r="M18" s="10"/>
      <c r="N18" s="10">
        <f t="shared" si="0"/>
        <v>69271</v>
      </c>
      <c r="P18" s="1" t="s">
        <v>20</v>
      </c>
      <c r="Q18" s="10">
        <f>SUM(Q4:Q17)</f>
        <v>3228</v>
      </c>
      <c r="R18" s="10">
        <f aca="true" t="shared" si="3" ref="R18:AC18">SUM(R4:R17)</f>
        <v>3268</v>
      </c>
      <c r="S18" s="10">
        <f t="shared" si="3"/>
        <v>3404</v>
      </c>
      <c r="T18" s="10">
        <f t="shared" si="3"/>
        <v>3635</v>
      </c>
      <c r="U18" s="10">
        <f t="shared" si="3"/>
        <v>1829</v>
      </c>
      <c r="V18" s="10">
        <f t="shared" si="3"/>
        <v>1477.3860803904981</v>
      </c>
      <c r="W18" s="10">
        <f t="shared" si="3"/>
        <v>4175</v>
      </c>
      <c r="X18" s="10">
        <f t="shared" si="3"/>
        <v>3284</v>
      </c>
      <c r="Y18" s="10">
        <f t="shared" si="3"/>
        <v>3135</v>
      </c>
      <c r="Z18" s="10">
        <f t="shared" si="3"/>
        <v>3865</v>
      </c>
      <c r="AA18" s="10">
        <f t="shared" si="3"/>
        <v>3387</v>
      </c>
      <c r="AB18" s="10"/>
      <c r="AC18" s="10">
        <f t="shared" si="3"/>
        <v>33421.3860803905</v>
      </c>
    </row>
    <row r="19" spans="1:16" ht="12.75">
      <c r="A19" s="5" t="s">
        <v>24</v>
      </c>
      <c r="P19" s="5" t="s">
        <v>24</v>
      </c>
    </row>
    <row r="21" spans="1:16" ht="12.75">
      <c r="A21" t="s">
        <v>40</v>
      </c>
      <c r="P21" t="s">
        <v>41</v>
      </c>
    </row>
    <row r="22" spans="1:16" ht="12.75">
      <c r="A22" t="s">
        <v>31</v>
      </c>
      <c r="P22" t="s">
        <v>31</v>
      </c>
    </row>
    <row r="23" spans="1:29" ht="12.75">
      <c r="A23" s="1" t="s">
        <v>21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28</v>
      </c>
      <c r="L23" s="2" t="s">
        <v>29</v>
      </c>
      <c r="M23" s="2" t="s">
        <v>30</v>
      </c>
      <c r="N23" s="49" t="s">
        <v>25</v>
      </c>
      <c r="P23" s="1" t="s">
        <v>21</v>
      </c>
      <c r="Q23" s="2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2" t="s">
        <v>6</v>
      </c>
      <c r="X23" s="2" t="s">
        <v>7</v>
      </c>
      <c r="Y23" s="2" t="s">
        <v>8</v>
      </c>
      <c r="Z23" s="2" t="s">
        <v>28</v>
      </c>
      <c r="AA23" s="2" t="s">
        <v>29</v>
      </c>
      <c r="AB23" s="2" t="s">
        <v>30</v>
      </c>
      <c r="AC23" s="6" t="s">
        <v>25</v>
      </c>
    </row>
    <row r="24" spans="1:29" ht="12.75">
      <c r="A24" s="3" t="s">
        <v>9</v>
      </c>
      <c r="B24" s="7">
        <f>1131968+2188099+492203+760301+6391780+13499+112812+1468976+22363</f>
        <v>12582001</v>
      </c>
      <c r="C24" s="7">
        <f>1381739+3615022+405013+519171+8357879+52699+87737+1541034+872+156</f>
        <v>15961322</v>
      </c>
      <c r="D24" s="7">
        <f>434276+3777603+336402+740528+8733972+102194+108760+1404651+1493</f>
        <v>15639879</v>
      </c>
      <c r="E24" s="7">
        <v>14757289</v>
      </c>
      <c r="F24" s="7">
        <v>17902486</v>
      </c>
      <c r="G24" s="7">
        <v>17802507</v>
      </c>
      <c r="H24" s="7">
        <v>10581191</v>
      </c>
      <c r="I24" s="7">
        <v>15485861</v>
      </c>
      <c r="J24" s="7">
        <v>8796533</v>
      </c>
      <c r="K24" s="7">
        <v>12143530</v>
      </c>
      <c r="L24" s="7">
        <v>14813896</v>
      </c>
      <c r="M24" s="67"/>
      <c r="N24" s="7">
        <f>SUM(B24:M24)</f>
        <v>156466495</v>
      </c>
      <c r="P24" s="3" t="s">
        <v>9</v>
      </c>
      <c r="Q24" s="7">
        <f>10592+3285854+207241+242003+488170+18344+62363+236622</f>
        <v>4551189</v>
      </c>
      <c r="R24" s="7">
        <f>237596+2753208+552295+217591+388210+14109+152579+474749</f>
        <v>4790337</v>
      </c>
      <c r="S24" s="7">
        <f>165215+3258097+476078+403307+394177+102062+81716+135832+72850</f>
        <v>5089334</v>
      </c>
      <c r="T24" s="7">
        <v>5202379</v>
      </c>
      <c r="U24" s="7">
        <v>5257110</v>
      </c>
      <c r="V24" s="7">
        <v>4206496</v>
      </c>
      <c r="W24" s="7">
        <v>4653625</v>
      </c>
      <c r="X24" s="7">
        <v>5314520</v>
      </c>
      <c r="Y24" s="7">
        <v>4777288</v>
      </c>
      <c r="Z24" s="7">
        <v>7827598</v>
      </c>
      <c r="AA24" s="7">
        <v>6544799</v>
      </c>
      <c r="AB24" s="7" t="s">
        <v>96</v>
      </c>
      <c r="AC24" s="7">
        <f>SUM(Q24:AA24)</f>
        <v>58214675</v>
      </c>
    </row>
    <row r="25" spans="1:29" ht="12.75">
      <c r="A25" s="4" t="s">
        <v>27</v>
      </c>
      <c r="B25" s="8">
        <f>342704+1094599</f>
        <v>1437303</v>
      </c>
      <c r="C25" s="8">
        <f>266685+1392971</f>
        <v>1659656</v>
      </c>
      <c r="D25" s="8">
        <f>20914+343774+1095809</f>
        <v>1460497</v>
      </c>
      <c r="E25" s="8">
        <f>526913+1268322</f>
        <v>1795235</v>
      </c>
      <c r="F25" s="8">
        <f>274854+1040696</f>
        <v>1315550</v>
      </c>
      <c r="G25" s="8">
        <f>354437+1239800</f>
        <v>1594237</v>
      </c>
      <c r="H25" s="8">
        <v>1226243</v>
      </c>
      <c r="I25" s="8">
        <v>977716</v>
      </c>
      <c r="J25" s="8">
        <v>1479075</v>
      </c>
      <c r="K25" s="8">
        <v>1422596</v>
      </c>
      <c r="L25" s="8">
        <v>1586598</v>
      </c>
      <c r="M25" s="47"/>
      <c r="N25" s="8">
        <f aca="true" t="shared" si="4" ref="N25:N38">SUM(B25:M25)</f>
        <v>15954706</v>
      </c>
      <c r="P25" s="4" t="s">
        <v>27</v>
      </c>
      <c r="Q25" s="8"/>
      <c r="R25" s="8">
        <v>121251</v>
      </c>
      <c r="S25" s="8">
        <v>419901</v>
      </c>
      <c r="T25" s="8">
        <v>206112</v>
      </c>
      <c r="U25" s="8">
        <v>180267</v>
      </c>
      <c r="V25" s="8">
        <v>187456</v>
      </c>
      <c r="W25" s="8">
        <v>69401</v>
      </c>
      <c r="X25" s="8">
        <v>136060</v>
      </c>
      <c r="Y25" s="8">
        <v>94466</v>
      </c>
      <c r="Z25" s="8">
        <v>63905</v>
      </c>
      <c r="AA25" s="8">
        <v>77781</v>
      </c>
      <c r="AB25" s="8"/>
      <c r="AC25" s="8">
        <f aca="true" t="shared" si="5" ref="AC25:AC38">SUM(Q25:AA25)</f>
        <v>1556600</v>
      </c>
    </row>
    <row r="26" spans="1:29" ht="12.75">
      <c r="A26" s="4" t="s">
        <v>10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47"/>
      <c r="N26" s="8"/>
      <c r="P26" s="4" t="s">
        <v>10</v>
      </c>
      <c r="Q26" s="8"/>
      <c r="R26" s="8"/>
      <c r="S26" s="8">
        <v>64078</v>
      </c>
      <c r="T26" s="8"/>
      <c r="U26" s="8"/>
      <c r="V26" s="8"/>
      <c r="W26" s="8"/>
      <c r="X26" s="8"/>
      <c r="Y26" s="8">
        <v>59335</v>
      </c>
      <c r="Z26" s="8"/>
      <c r="AA26" s="8"/>
      <c r="AB26" s="8"/>
      <c r="AC26" s="8">
        <f t="shared" si="5"/>
        <v>123413</v>
      </c>
    </row>
    <row r="27" spans="1:29" ht="12.75">
      <c r="A27" s="4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7"/>
      <c r="N27" s="8"/>
      <c r="P27" s="4" t="s">
        <v>33</v>
      </c>
      <c r="Q27" s="8"/>
      <c r="R27" s="8"/>
      <c r="S27" s="8"/>
      <c r="T27" s="8"/>
      <c r="U27" s="8"/>
      <c r="V27" s="8"/>
      <c r="W27" s="8"/>
      <c r="X27" s="8">
        <v>79017</v>
      </c>
      <c r="Y27" s="8"/>
      <c r="Z27" s="8"/>
      <c r="AA27" s="8"/>
      <c r="AB27" s="8"/>
      <c r="AC27" s="8">
        <f t="shared" si="5"/>
        <v>79017</v>
      </c>
    </row>
    <row r="28" spans="1:29" ht="12.75">
      <c r="A28" s="4" t="s">
        <v>11</v>
      </c>
      <c r="B28" s="8"/>
      <c r="C28" s="8">
        <v>177204</v>
      </c>
      <c r="D28" s="8">
        <v>218921</v>
      </c>
      <c r="E28" s="8">
        <v>60392</v>
      </c>
      <c r="F28" s="8">
        <v>129744</v>
      </c>
      <c r="G28" s="8">
        <v>54019</v>
      </c>
      <c r="H28" s="8"/>
      <c r="I28" s="8">
        <v>172962</v>
      </c>
      <c r="J28" s="8">
        <v>249748</v>
      </c>
      <c r="K28" s="8">
        <v>108720</v>
      </c>
      <c r="L28" s="8">
        <v>354077</v>
      </c>
      <c r="M28" s="47"/>
      <c r="N28" s="8">
        <f t="shared" si="4"/>
        <v>1525787</v>
      </c>
      <c r="P28" s="4" t="s">
        <v>11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.75">
      <c r="A29" s="4" t="s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47"/>
      <c r="N29" s="8"/>
      <c r="P29" s="4" t="s">
        <v>12</v>
      </c>
      <c r="Q29" s="8">
        <v>72498</v>
      </c>
      <c r="R29" s="8"/>
      <c r="S29" s="8">
        <v>92946</v>
      </c>
      <c r="T29" s="8"/>
      <c r="U29" s="8"/>
      <c r="V29" s="8"/>
      <c r="W29" s="8"/>
      <c r="X29" s="8"/>
      <c r="Y29" s="8"/>
      <c r="Z29" s="8"/>
      <c r="AA29" s="8">
        <v>150613</v>
      </c>
      <c r="AB29" s="8"/>
      <c r="AC29" s="8">
        <f t="shared" si="5"/>
        <v>316057</v>
      </c>
    </row>
    <row r="30" spans="1:29" ht="12.75">
      <c r="A30" s="4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7"/>
      <c r="N30" s="8"/>
      <c r="P30" s="4" t="s">
        <v>13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.75">
      <c r="A31" s="4" t="s">
        <v>14</v>
      </c>
      <c r="B31" s="8">
        <v>8930844</v>
      </c>
      <c r="C31" s="8">
        <v>10057869</v>
      </c>
      <c r="D31" s="8">
        <v>15835031</v>
      </c>
      <c r="E31" s="8">
        <v>14234480</v>
      </c>
      <c r="F31" s="8">
        <v>12138603</v>
      </c>
      <c r="G31" s="8">
        <v>14928872</v>
      </c>
      <c r="H31" s="8">
        <v>13236212</v>
      </c>
      <c r="I31" s="8">
        <v>9850832</v>
      </c>
      <c r="J31" s="8">
        <v>9274790</v>
      </c>
      <c r="K31" s="8">
        <v>8955960</v>
      </c>
      <c r="L31" s="8">
        <v>6207310</v>
      </c>
      <c r="M31" s="47"/>
      <c r="N31" s="8">
        <f t="shared" si="4"/>
        <v>123650803</v>
      </c>
      <c r="P31" s="4" t="s">
        <v>14</v>
      </c>
      <c r="Q31" s="8">
        <v>7115276</v>
      </c>
      <c r="R31" s="8">
        <v>7073443</v>
      </c>
      <c r="S31" s="8">
        <v>6413617</v>
      </c>
      <c r="T31" s="8">
        <v>8227607</v>
      </c>
      <c r="U31" s="8">
        <v>1536785</v>
      </c>
      <c r="V31" s="8">
        <v>1164844</v>
      </c>
      <c r="W31" s="8">
        <v>10596442</v>
      </c>
      <c r="X31" s="8">
        <v>5360102</v>
      </c>
      <c r="Y31" s="8">
        <v>6965638</v>
      </c>
      <c r="Z31" s="8">
        <v>7405422</v>
      </c>
      <c r="AA31" s="8">
        <v>6908313</v>
      </c>
      <c r="AB31" s="8"/>
      <c r="AC31" s="8">
        <f t="shared" si="5"/>
        <v>68767489</v>
      </c>
    </row>
    <row r="32" spans="1:29" ht="12.75">
      <c r="A32" s="4" t="s">
        <v>15</v>
      </c>
      <c r="B32" s="8">
        <v>10658</v>
      </c>
      <c r="C32" s="8">
        <v>9488</v>
      </c>
      <c r="D32" s="8">
        <v>8588</v>
      </c>
      <c r="E32" s="8">
        <v>112826</v>
      </c>
      <c r="F32" s="8"/>
      <c r="G32" s="8"/>
      <c r="H32" s="8"/>
      <c r="I32" s="8"/>
      <c r="J32" s="8">
        <v>4630</v>
      </c>
      <c r="K32" s="8"/>
      <c r="L32" s="8">
        <v>7257</v>
      </c>
      <c r="M32" s="47"/>
      <c r="N32" s="8">
        <f t="shared" si="4"/>
        <v>153447</v>
      </c>
      <c r="P32" s="4" t="s">
        <v>15</v>
      </c>
      <c r="Q32" s="8"/>
      <c r="R32" s="8"/>
      <c r="S32" s="8"/>
      <c r="T32" s="8"/>
      <c r="U32" s="8"/>
      <c r="V32" s="8"/>
      <c r="W32" s="8"/>
      <c r="X32" s="8"/>
      <c r="Y32" s="8"/>
      <c r="Z32" s="8">
        <v>50646</v>
      </c>
      <c r="AA32" s="8"/>
      <c r="AB32" s="8"/>
      <c r="AC32" s="8">
        <f t="shared" si="5"/>
        <v>50646</v>
      </c>
    </row>
    <row r="33" spans="1:29" ht="12.75">
      <c r="A33" s="4" t="s">
        <v>16</v>
      </c>
      <c r="B33" s="8">
        <v>807254</v>
      </c>
      <c r="C33" s="8">
        <v>647437</v>
      </c>
      <c r="D33" s="8">
        <v>386422</v>
      </c>
      <c r="E33" s="8">
        <v>617856</v>
      </c>
      <c r="F33" s="8">
        <v>790038</v>
      </c>
      <c r="G33" s="8">
        <v>734406</v>
      </c>
      <c r="H33" s="8">
        <v>405944</v>
      </c>
      <c r="I33" s="8">
        <v>376259</v>
      </c>
      <c r="J33" s="8">
        <v>507299</v>
      </c>
      <c r="K33" s="8">
        <v>579641</v>
      </c>
      <c r="L33" s="8">
        <v>705763</v>
      </c>
      <c r="M33" s="47"/>
      <c r="N33" s="8">
        <f t="shared" si="4"/>
        <v>6558319</v>
      </c>
      <c r="P33" s="4" t="s">
        <v>16</v>
      </c>
      <c r="Q33" s="8">
        <v>225964</v>
      </c>
      <c r="R33" s="8">
        <v>294447</v>
      </c>
      <c r="S33" s="8">
        <v>1021611</v>
      </c>
      <c r="T33" s="8">
        <v>621557</v>
      </c>
      <c r="U33" s="8">
        <v>48289</v>
      </c>
      <c r="V33" s="8">
        <v>117205</v>
      </c>
      <c r="W33" s="8">
        <v>462923</v>
      </c>
      <c r="X33" s="8">
        <v>117776</v>
      </c>
      <c r="Y33" s="8">
        <v>536073</v>
      </c>
      <c r="Z33" s="8">
        <v>430097</v>
      </c>
      <c r="AA33" s="8">
        <v>722457</v>
      </c>
      <c r="AB33" s="8"/>
      <c r="AC33" s="8">
        <f t="shared" si="5"/>
        <v>4598399</v>
      </c>
    </row>
    <row r="34" spans="1:29" ht="12.75">
      <c r="A34" s="4" t="s">
        <v>17</v>
      </c>
      <c r="B34" s="8">
        <v>3133919</v>
      </c>
      <c r="C34" s="8">
        <v>3040953</v>
      </c>
      <c r="D34" s="8">
        <v>4684508</v>
      </c>
      <c r="E34" s="8">
        <v>4431790</v>
      </c>
      <c r="F34" s="8">
        <v>4823597</v>
      </c>
      <c r="G34" s="8">
        <v>5659478</v>
      </c>
      <c r="H34" s="8">
        <v>2817954</v>
      </c>
      <c r="I34" s="8">
        <v>3832574</v>
      </c>
      <c r="J34" s="8">
        <v>3454744</v>
      </c>
      <c r="K34" s="8">
        <v>3511242</v>
      </c>
      <c r="L34" s="8">
        <v>5620916</v>
      </c>
      <c r="M34" s="47"/>
      <c r="N34" s="8">
        <f t="shared" si="4"/>
        <v>45011675</v>
      </c>
      <c r="P34" s="4" t="s">
        <v>17</v>
      </c>
      <c r="Q34" s="8">
        <v>670115</v>
      </c>
      <c r="R34" s="8">
        <v>495496</v>
      </c>
      <c r="S34" s="8">
        <v>669487</v>
      </c>
      <c r="T34" s="8">
        <v>593451</v>
      </c>
      <c r="U34" s="8">
        <v>1535</v>
      </c>
      <c r="V34" s="8">
        <v>28827</v>
      </c>
      <c r="W34" s="8">
        <v>247138</v>
      </c>
      <c r="X34" s="8">
        <v>330160</v>
      </c>
      <c r="Y34" s="8">
        <v>343761</v>
      </c>
      <c r="Z34" s="8">
        <v>502897</v>
      </c>
      <c r="AA34" s="8">
        <v>178688</v>
      </c>
      <c r="AB34" s="8"/>
      <c r="AC34" s="8">
        <f t="shared" si="5"/>
        <v>4061555</v>
      </c>
    </row>
    <row r="35" spans="1:29" ht="12.75">
      <c r="A35" s="4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7"/>
      <c r="N35" s="8"/>
      <c r="P35" s="4" t="s">
        <v>18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2.75">
      <c r="A36" s="4" t="s">
        <v>19</v>
      </c>
      <c r="B36" s="8">
        <v>61538</v>
      </c>
      <c r="C36" s="8"/>
      <c r="D36" s="8">
        <v>133982</v>
      </c>
      <c r="E36" s="8">
        <v>92510</v>
      </c>
      <c r="F36" s="8">
        <v>67169</v>
      </c>
      <c r="G36" s="8">
        <v>69059</v>
      </c>
      <c r="H36" s="8"/>
      <c r="I36" s="8">
        <v>74787</v>
      </c>
      <c r="J36" s="8">
        <v>7068</v>
      </c>
      <c r="K36" s="8">
        <v>163068</v>
      </c>
      <c r="L36" s="8"/>
      <c r="M36" s="47"/>
      <c r="N36" s="8">
        <f t="shared" si="4"/>
        <v>669181</v>
      </c>
      <c r="P36" s="4" t="s">
        <v>19</v>
      </c>
      <c r="Q36" s="8"/>
      <c r="R36" s="8"/>
      <c r="S36" s="8">
        <v>65769</v>
      </c>
      <c r="T36" s="8"/>
      <c r="U36" s="8"/>
      <c r="V36" s="8">
        <v>3842</v>
      </c>
      <c r="W36" s="8"/>
      <c r="X36" s="8">
        <v>5632</v>
      </c>
      <c r="Y36" s="8">
        <v>5047</v>
      </c>
      <c r="Z36" s="8"/>
      <c r="AA36" s="8"/>
      <c r="AB36" s="8"/>
      <c r="AC36" s="8">
        <f t="shared" si="5"/>
        <v>80290</v>
      </c>
    </row>
    <row r="37" spans="1:29" ht="12.75">
      <c r="A37" s="11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  <c r="P37" s="11" t="s">
        <v>35</v>
      </c>
      <c r="Q37" s="12"/>
      <c r="R37" s="12"/>
      <c r="S37" s="12"/>
      <c r="T37" s="12"/>
      <c r="U37" s="12"/>
      <c r="V37" s="12"/>
      <c r="W37" s="12"/>
      <c r="X37" s="12"/>
      <c r="Y37" s="12"/>
      <c r="Z37" s="12">
        <v>33263</v>
      </c>
      <c r="AA37" s="12"/>
      <c r="AB37" s="12"/>
      <c r="AC37" s="9">
        <f t="shared" si="5"/>
        <v>33263</v>
      </c>
    </row>
    <row r="38" spans="1:29" ht="12.75">
      <c r="A38" s="1" t="s">
        <v>20</v>
      </c>
      <c r="B38" s="10">
        <f>SUM(B24:B37)</f>
        <v>26963517</v>
      </c>
      <c r="C38" s="10">
        <f aca="true" t="shared" si="6" ref="C38:L38">SUM(C24:C37)</f>
        <v>31553929</v>
      </c>
      <c r="D38" s="10">
        <f t="shared" si="6"/>
        <v>38367828</v>
      </c>
      <c r="E38" s="10">
        <f t="shared" si="6"/>
        <v>36102378</v>
      </c>
      <c r="F38" s="10">
        <f t="shared" si="6"/>
        <v>37167187</v>
      </c>
      <c r="G38" s="10">
        <f t="shared" si="6"/>
        <v>40842578</v>
      </c>
      <c r="H38" s="10">
        <f t="shared" si="6"/>
        <v>28267544</v>
      </c>
      <c r="I38" s="10">
        <f t="shared" si="6"/>
        <v>30770991</v>
      </c>
      <c r="J38" s="10">
        <f t="shared" si="6"/>
        <v>23773887</v>
      </c>
      <c r="K38" s="10">
        <f t="shared" si="6"/>
        <v>26884757</v>
      </c>
      <c r="L38" s="10">
        <f t="shared" si="6"/>
        <v>29295817</v>
      </c>
      <c r="M38" s="10"/>
      <c r="N38" s="10">
        <f t="shared" si="4"/>
        <v>349990413</v>
      </c>
      <c r="P38" s="1" t="s">
        <v>20</v>
      </c>
      <c r="Q38" s="10">
        <f>SUM(Q24:Q37)</f>
        <v>12635042</v>
      </c>
      <c r="R38" s="10">
        <f>SUM(R24:R37)</f>
        <v>12774974</v>
      </c>
      <c r="S38" s="10">
        <f aca="true" t="shared" si="7" ref="S38:AA38">SUM(S24:S37)</f>
        <v>13836743</v>
      </c>
      <c r="T38" s="10">
        <f t="shared" si="7"/>
        <v>14851106</v>
      </c>
      <c r="U38" s="10">
        <f t="shared" si="7"/>
        <v>7023986</v>
      </c>
      <c r="V38" s="10">
        <f t="shared" si="7"/>
        <v>5708670</v>
      </c>
      <c r="W38" s="10">
        <f t="shared" si="7"/>
        <v>16029529</v>
      </c>
      <c r="X38" s="10">
        <f t="shared" si="7"/>
        <v>11343267</v>
      </c>
      <c r="Y38" s="10">
        <f t="shared" si="7"/>
        <v>12781608</v>
      </c>
      <c r="Z38" s="10">
        <f t="shared" si="7"/>
        <v>16313828</v>
      </c>
      <c r="AA38" s="10">
        <f t="shared" si="7"/>
        <v>14582651</v>
      </c>
      <c r="AB38" s="10"/>
      <c r="AC38" s="10">
        <f t="shared" si="5"/>
        <v>137881404</v>
      </c>
    </row>
    <row r="39" spans="1:16" ht="12.75">
      <c r="A39" s="5" t="s">
        <v>24</v>
      </c>
      <c r="P39" s="5" t="s">
        <v>24</v>
      </c>
    </row>
    <row r="41" spans="1:16" ht="12.75">
      <c r="A41" t="s">
        <v>40</v>
      </c>
      <c r="P41" t="s">
        <v>41</v>
      </c>
    </row>
    <row r="42" spans="1:16" ht="12.75">
      <c r="A42" t="s">
        <v>32</v>
      </c>
      <c r="P42" t="s">
        <v>32</v>
      </c>
    </row>
    <row r="43" spans="1:29" ht="12.75">
      <c r="A43" s="1" t="s">
        <v>21</v>
      </c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7</v>
      </c>
      <c r="J43" s="2" t="s">
        <v>8</v>
      </c>
      <c r="K43" s="2" t="s">
        <v>28</v>
      </c>
      <c r="L43" s="2" t="s">
        <v>29</v>
      </c>
      <c r="M43" s="2" t="s">
        <v>30</v>
      </c>
      <c r="N43" s="6" t="s">
        <v>25</v>
      </c>
      <c r="P43" s="1" t="s">
        <v>21</v>
      </c>
      <c r="Q43" s="61" t="s">
        <v>0</v>
      </c>
      <c r="R43" s="2" t="s">
        <v>1</v>
      </c>
      <c r="S43" s="2" t="s">
        <v>2</v>
      </c>
      <c r="T43" s="2" t="s">
        <v>3</v>
      </c>
      <c r="U43" s="2" t="s">
        <v>4</v>
      </c>
      <c r="V43" s="2" t="s">
        <v>5</v>
      </c>
      <c r="W43" s="2" t="s">
        <v>6</v>
      </c>
      <c r="X43" s="2" t="s">
        <v>7</v>
      </c>
      <c r="Y43" s="2" t="s">
        <v>8</v>
      </c>
      <c r="Z43" s="2" t="s">
        <v>28</v>
      </c>
      <c r="AA43" s="2" t="s">
        <v>29</v>
      </c>
      <c r="AB43" s="2" t="s">
        <v>30</v>
      </c>
      <c r="AC43" s="6" t="s">
        <v>25</v>
      </c>
    </row>
    <row r="44" spans="1:29" ht="12.75">
      <c r="A44" s="3" t="s">
        <v>9</v>
      </c>
      <c r="B44" s="14">
        <f aca="true" t="shared" si="8" ref="B44:F45">B24/B4</f>
        <v>5057.074356913184</v>
      </c>
      <c r="C44" s="14">
        <f t="shared" si="8"/>
        <v>4947.712957222567</v>
      </c>
      <c r="D44" s="14">
        <f t="shared" si="8"/>
        <v>4766.802499238037</v>
      </c>
      <c r="E44" s="14">
        <f t="shared" si="8"/>
        <v>6481.022837066315</v>
      </c>
      <c r="F44" s="14">
        <f t="shared" si="8"/>
        <v>4780.370093457944</v>
      </c>
      <c r="G44" s="14">
        <f aca="true" t="shared" si="9" ref="G44:L44">G24/G4</f>
        <v>5041.774851316907</v>
      </c>
      <c r="H44" s="14">
        <f t="shared" si="9"/>
        <v>5222.7003948667325</v>
      </c>
      <c r="I44" s="14">
        <f t="shared" si="9"/>
        <v>4545.307014969181</v>
      </c>
      <c r="J44" s="14">
        <f t="shared" si="9"/>
        <v>5078.829676674365</v>
      </c>
      <c r="K44" s="14">
        <f t="shared" si="9"/>
        <v>5923.673170731708</v>
      </c>
      <c r="L44" s="14">
        <f t="shared" si="9"/>
        <v>4330.282373574978</v>
      </c>
      <c r="M44" s="14"/>
      <c r="N44" s="14">
        <f>N24/N4</f>
        <v>5017.5248524884555</v>
      </c>
      <c r="P44" s="69" t="s">
        <v>9</v>
      </c>
      <c r="Q44" s="14">
        <f aca="true" t="shared" si="10" ref="Q44:AC44">Q24/Q4</f>
        <v>3745.8345679012345</v>
      </c>
      <c r="R44" s="14">
        <f t="shared" si="10"/>
        <v>3860.062046736503</v>
      </c>
      <c r="S44" s="14">
        <f t="shared" si="10"/>
        <v>3960.5712062256807</v>
      </c>
      <c r="T44" s="14">
        <f t="shared" si="10"/>
        <v>3517.497633536173</v>
      </c>
      <c r="U44" s="14">
        <f t="shared" si="10"/>
        <v>3691.7907303370785</v>
      </c>
      <c r="V44" s="14">
        <f t="shared" si="10"/>
        <v>3902.12987012987</v>
      </c>
      <c r="W44" s="14">
        <f t="shared" si="10"/>
        <v>3533.5041761579346</v>
      </c>
      <c r="X44" s="14">
        <f t="shared" si="10"/>
        <v>4282.4496373892025</v>
      </c>
      <c r="Y44" s="14">
        <f t="shared" si="10"/>
        <v>3849.5471394037068</v>
      </c>
      <c r="Z44" s="14">
        <f t="shared" si="10"/>
        <v>4692.804556354916</v>
      </c>
      <c r="AA44" s="14">
        <f t="shared" si="10"/>
        <v>4455.27501701838</v>
      </c>
      <c r="AB44" s="14"/>
      <c r="AC44" s="14">
        <f t="shared" si="10"/>
        <v>3971.529199072179</v>
      </c>
    </row>
    <row r="45" spans="1:29" ht="12.75">
      <c r="A45" s="4" t="s">
        <v>27</v>
      </c>
      <c r="B45" s="15">
        <f t="shared" si="8"/>
        <v>2270.620853080569</v>
      </c>
      <c r="C45" s="15">
        <f t="shared" si="8"/>
        <v>2419.32361516035</v>
      </c>
      <c r="D45" s="15">
        <f t="shared" si="8"/>
        <v>2571.2975352112676</v>
      </c>
      <c r="E45" s="15">
        <f t="shared" si="8"/>
        <v>2507.3114525139663</v>
      </c>
      <c r="F45" s="15">
        <f t="shared" si="8"/>
        <v>2383.2427536231885</v>
      </c>
      <c r="G45" s="15">
        <f aca="true" t="shared" si="11" ref="G45:L45">G25/G5</f>
        <v>2452.6723076923076</v>
      </c>
      <c r="H45" s="15">
        <f t="shared" si="11"/>
        <v>2326.8368121442127</v>
      </c>
      <c r="I45" s="15">
        <f t="shared" si="11"/>
        <v>2289.7330210772834</v>
      </c>
      <c r="J45" s="15">
        <f t="shared" si="11"/>
        <v>2275.5</v>
      </c>
      <c r="K45" s="15">
        <f t="shared" si="11"/>
        <v>2067.7267441860463</v>
      </c>
      <c r="L45" s="15">
        <f t="shared" si="11"/>
        <v>2090.379446640316</v>
      </c>
      <c r="M45" s="15"/>
      <c r="N45" s="15">
        <f>N25/N5</f>
        <v>2327.1158109684948</v>
      </c>
      <c r="P45" s="13" t="s">
        <v>27</v>
      </c>
      <c r="Q45" s="15"/>
      <c r="R45" s="15">
        <f aca="true" t="shared" si="12" ref="R45:AC45">R25/R5</f>
        <v>2579.808510638298</v>
      </c>
      <c r="S45" s="15">
        <f t="shared" si="12"/>
        <v>3255.046511627907</v>
      </c>
      <c r="T45" s="15">
        <f t="shared" si="12"/>
        <v>3076.2985074626868</v>
      </c>
      <c r="U45" s="15">
        <f t="shared" si="12"/>
        <v>2281.8607594936707</v>
      </c>
      <c r="V45" s="15">
        <f t="shared" si="12"/>
        <v>2567.890410958904</v>
      </c>
      <c r="W45" s="15">
        <f t="shared" si="12"/>
        <v>3304.809523809524</v>
      </c>
      <c r="X45" s="15">
        <f t="shared" si="12"/>
        <v>2667.843137254902</v>
      </c>
      <c r="Y45" s="15">
        <f t="shared" si="12"/>
        <v>2422.2051282051284</v>
      </c>
      <c r="Z45" s="15">
        <f t="shared" si="12"/>
        <v>2904.7727272727275</v>
      </c>
      <c r="AA45" s="15">
        <f t="shared" si="12"/>
        <v>7071</v>
      </c>
      <c r="AB45" s="15"/>
      <c r="AC45" s="15">
        <f t="shared" si="12"/>
        <v>2887.940630797774</v>
      </c>
    </row>
    <row r="46" spans="1:29" ht="12.75">
      <c r="A46" s="4" t="s">
        <v>10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P46" s="13" t="s">
        <v>10</v>
      </c>
      <c r="Q46" s="15"/>
      <c r="R46" s="15"/>
      <c r="S46" s="15">
        <f>S26/S6</f>
        <v>8009.75</v>
      </c>
      <c r="T46" s="15"/>
      <c r="U46" s="15"/>
      <c r="V46" s="15"/>
      <c r="W46" s="15"/>
      <c r="X46" s="15"/>
      <c r="Y46" s="15">
        <f>Y26/Y6</f>
        <v>7416.875</v>
      </c>
      <c r="Z46" s="15"/>
      <c r="AA46" s="15"/>
      <c r="AB46" s="15"/>
      <c r="AC46" s="15">
        <f>AC26/AC6</f>
        <v>7713.3125</v>
      </c>
    </row>
    <row r="47" spans="1:29" ht="12.75">
      <c r="A47" s="4" t="s">
        <v>33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P47" s="13" t="s">
        <v>33</v>
      </c>
      <c r="Q47" s="15"/>
      <c r="R47" s="15"/>
      <c r="S47" s="15"/>
      <c r="T47" s="15"/>
      <c r="U47" s="15"/>
      <c r="V47" s="15"/>
      <c r="W47" s="15"/>
      <c r="X47" s="15">
        <f>X27/X7</f>
        <v>3762.714285714286</v>
      </c>
      <c r="Y47" s="15"/>
      <c r="Z47" s="15"/>
      <c r="AA47" s="15"/>
      <c r="AB47" s="15"/>
      <c r="AC47" s="15">
        <f>AC27/AC7</f>
        <v>3762.714285714286</v>
      </c>
    </row>
    <row r="48" spans="1:29" ht="12.75">
      <c r="A48" s="4" t="s">
        <v>11</v>
      </c>
      <c r="B48" s="15"/>
      <c r="C48" s="15">
        <v>10547.881</v>
      </c>
      <c r="D48" s="15">
        <v>10627.251</v>
      </c>
      <c r="E48" s="15">
        <f>E28/E8</f>
        <v>15098</v>
      </c>
      <c r="F48" s="15">
        <f>F28/F8</f>
        <v>12974.4</v>
      </c>
      <c r="G48" s="15">
        <f aca="true" t="shared" si="13" ref="G48:L48">G28/G8</f>
        <v>10803.8</v>
      </c>
      <c r="H48" s="15"/>
      <c r="I48" s="15">
        <f t="shared" si="13"/>
        <v>10810.125</v>
      </c>
      <c r="J48" s="15">
        <f t="shared" si="13"/>
        <v>10406.166666666666</v>
      </c>
      <c r="K48" s="15">
        <f t="shared" si="13"/>
        <v>9883.636363636364</v>
      </c>
      <c r="L48" s="15">
        <f t="shared" si="13"/>
        <v>12209.551724137931</v>
      </c>
      <c r="M48" s="15"/>
      <c r="N48" s="15">
        <v>11292.438</v>
      </c>
      <c r="P48" s="13" t="s">
        <v>11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2.75">
      <c r="A49" s="4" t="s">
        <v>12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P49" s="13" t="s">
        <v>12</v>
      </c>
      <c r="Q49" s="15">
        <f>Q29/Q9</f>
        <v>7249.8</v>
      </c>
      <c r="R49" s="15"/>
      <c r="S49" s="15">
        <f>S29/S9</f>
        <v>7149.692307692308</v>
      </c>
      <c r="T49" s="15"/>
      <c r="U49" s="15"/>
      <c r="V49" s="15"/>
      <c r="W49" s="15"/>
      <c r="X49" s="15"/>
      <c r="Y49" s="15"/>
      <c r="Z49" s="15"/>
      <c r="AA49" s="15">
        <f>AA29/AA9</f>
        <v>11585.615384615385</v>
      </c>
      <c r="AB49" s="15"/>
      <c r="AC49" s="15">
        <f>AC29/AC9</f>
        <v>8779.361111111111</v>
      </c>
    </row>
    <row r="50" spans="1:29" ht="12.75">
      <c r="A50" s="4" t="s">
        <v>13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P50" s="13" t="s">
        <v>13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2.75">
      <c r="A51" s="4" t="s">
        <v>14</v>
      </c>
      <c r="B51" s="15">
        <f>B31/B11</f>
        <v>5383.269439421339</v>
      </c>
      <c r="C51" s="15">
        <f>C31/C11</f>
        <v>6216.235475896168</v>
      </c>
      <c r="D51" s="15">
        <f>D31/D11</f>
        <v>5897.590689013035</v>
      </c>
      <c r="E51" s="15">
        <f>E31/E11</f>
        <v>5588.723989006675</v>
      </c>
      <c r="F51" s="15">
        <f>F31/F11</f>
        <v>5458.004946043166</v>
      </c>
      <c r="G51" s="15">
        <f aca="true" t="shared" si="14" ref="G51:L51">G31/G11</f>
        <v>5460.450621799561</v>
      </c>
      <c r="H51" s="15">
        <f t="shared" si="14"/>
        <v>5233.7730328192965</v>
      </c>
      <c r="I51" s="15">
        <f t="shared" si="14"/>
        <v>4831.207454634625</v>
      </c>
      <c r="J51" s="15">
        <f t="shared" si="14"/>
        <v>4557.636363636364</v>
      </c>
      <c r="K51" s="15">
        <f t="shared" si="14"/>
        <v>4686.530612244898</v>
      </c>
      <c r="L51" s="15">
        <f t="shared" si="14"/>
        <v>6176.427860696517</v>
      </c>
      <c r="M51" s="15"/>
      <c r="N51" s="15">
        <f>N31/N11</f>
        <v>5379.396284695032</v>
      </c>
      <c r="P51" s="13" t="s">
        <v>14</v>
      </c>
      <c r="Q51" s="15">
        <f aca="true" t="shared" si="15" ref="Q51:AC51">Q31/Q11</f>
        <v>3981.687744823727</v>
      </c>
      <c r="R51" s="15">
        <f t="shared" si="15"/>
        <v>3931.874930516954</v>
      </c>
      <c r="S51" s="15">
        <f t="shared" si="15"/>
        <v>4036.259911894273</v>
      </c>
      <c r="T51" s="15">
        <f t="shared" si="15"/>
        <v>4578.523650528658</v>
      </c>
      <c r="U51" s="15">
        <f t="shared" si="15"/>
        <v>4802.453125</v>
      </c>
      <c r="V51" s="15">
        <f t="shared" si="15"/>
        <v>4087.1719298245616</v>
      </c>
      <c r="W51" s="15">
        <f t="shared" si="15"/>
        <v>3931.8894248608535</v>
      </c>
      <c r="X51" s="15">
        <f t="shared" si="15"/>
        <v>2929.017486338798</v>
      </c>
      <c r="Y51" s="15">
        <f t="shared" si="15"/>
        <v>4203.764634882317</v>
      </c>
      <c r="Z51" s="15">
        <f t="shared" si="15"/>
        <v>3829.0703205791106</v>
      </c>
      <c r="AA51" s="15">
        <f t="shared" si="15"/>
        <v>4021.1367869615833</v>
      </c>
      <c r="AB51" s="15"/>
      <c r="AC51" s="15">
        <f t="shared" si="15"/>
        <v>3949.6576302337603</v>
      </c>
    </row>
    <row r="52" spans="1:29" ht="12.75">
      <c r="A52" s="4" t="s">
        <v>15</v>
      </c>
      <c r="B52" s="15">
        <v>11842.157</v>
      </c>
      <c r="C52" s="15">
        <v>13554.589</v>
      </c>
      <c r="D52" s="15">
        <v>14312.904</v>
      </c>
      <c r="E52" s="15">
        <f>E32/E12</f>
        <v>5372.666666666667</v>
      </c>
      <c r="F52" s="15"/>
      <c r="G52" s="15"/>
      <c r="H52" s="15"/>
      <c r="I52" s="15"/>
      <c r="J52" s="15"/>
      <c r="K52" s="15"/>
      <c r="L52" s="15">
        <f>L32/L12</f>
        <v>7257</v>
      </c>
      <c r="M52" s="15"/>
      <c r="N52" s="15">
        <v>6075.52</v>
      </c>
      <c r="P52" s="13" t="s">
        <v>15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2.75">
      <c r="A53" s="4" t="s">
        <v>16</v>
      </c>
      <c r="B53" s="15">
        <f aca="true" t="shared" si="16" ref="B53:D54">B33/B13</f>
        <v>7474.574074074074</v>
      </c>
      <c r="C53" s="15">
        <f t="shared" si="16"/>
        <v>8632.493333333334</v>
      </c>
      <c r="D53" s="15">
        <f t="shared" si="16"/>
        <v>8587.155555555555</v>
      </c>
      <c r="E53" s="15">
        <f>E33/E13</f>
        <v>7184.372093023256</v>
      </c>
      <c r="F53" s="15">
        <f>F33/F13</f>
        <v>8316.189473684211</v>
      </c>
      <c r="G53" s="15">
        <f aca="true" t="shared" si="17" ref="G53:L53">G33/G13</f>
        <v>8640.070588235294</v>
      </c>
      <c r="H53" s="15">
        <f t="shared" si="17"/>
        <v>6443.555555555556</v>
      </c>
      <c r="I53" s="15">
        <f t="shared" si="17"/>
        <v>8551.34090909091</v>
      </c>
      <c r="J53" s="15">
        <f t="shared" si="17"/>
        <v>7686.348484848485</v>
      </c>
      <c r="K53" s="15">
        <f t="shared" si="17"/>
        <v>6740.011627906977</v>
      </c>
      <c r="L53" s="15">
        <f t="shared" si="17"/>
        <v>7841.811111111111</v>
      </c>
      <c r="M53" s="15"/>
      <c r="N53" s="15">
        <f>N33/N13</f>
        <v>7779.7378410438905</v>
      </c>
      <c r="P53" s="13" t="s">
        <v>16</v>
      </c>
      <c r="Q53" s="15">
        <f aca="true" t="shared" si="18" ref="Q53:AC53">Q33/Q13</f>
        <v>3704.3278688524592</v>
      </c>
      <c r="R53" s="15">
        <f t="shared" si="18"/>
        <v>7958.027027027027</v>
      </c>
      <c r="S53" s="15">
        <f t="shared" si="18"/>
        <v>5082.641791044776</v>
      </c>
      <c r="T53" s="15">
        <f t="shared" si="18"/>
        <v>5179.641666666666</v>
      </c>
      <c r="U53" s="15">
        <f t="shared" si="18"/>
        <v>9657.8</v>
      </c>
      <c r="V53" s="15">
        <f t="shared" si="18"/>
        <v>3906.8333333333335</v>
      </c>
      <c r="W53" s="15">
        <f t="shared" si="18"/>
        <v>5859.784810126583</v>
      </c>
      <c r="X53" s="15">
        <f t="shared" si="18"/>
        <v>3183.135135135135</v>
      </c>
      <c r="Y53" s="15">
        <f t="shared" si="18"/>
        <v>5470.132653061224</v>
      </c>
      <c r="Z53" s="15">
        <f t="shared" si="18"/>
        <v>5181.891566265061</v>
      </c>
      <c r="AA53" s="15">
        <f t="shared" si="18"/>
        <v>5557.361538461539</v>
      </c>
      <c r="AB53" s="15"/>
      <c r="AC53" s="15">
        <f t="shared" si="18"/>
        <v>5219.522133938706</v>
      </c>
    </row>
    <row r="54" spans="1:29" ht="12.75">
      <c r="A54" s="4" t="s">
        <v>17</v>
      </c>
      <c r="B54" s="15">
        <f t="shared" si="16"/>
        <v>5267.090756302521</v>
      </c>
      <c r="C54" s="15">
        <f t="shared" si="16"/>
        <v>5814.441682600383</v>
      </c>
      <c r="D54" s="15">
        <f t="shared" si="16"/>
        <v>6221.126162018592</v>
      </c>
      <c r="E54" s="15">
        <f>E34/E14</f>
        <v>6304.110953058322</v>
      </c>
      <c r="F54" s="15">
        <f>F34/F14</f>
        <v>5940.39039408867</v>
      </c>
      <c r="G54" s="15">
        <f aca="true" t="shared" si="19" ref="G54:L54">G34/G14</f>
        <v>6769.710526315789</v>
      </c>
      <c r="H54" s="15">
        <f t="shared" si="19"/>
        <v>5895.301255230125</v>
      </c>
      <c r="I54" s="15">
        <f t="shared" si="19"/>
        <v>6161.694533762058</v>
      </c>
      <c r="J54" s="15">
        <f t="shared" si="19"/>
        <v>6747.546875</v>
      </c>
      <c r="K54" s="15">
        <f t="shared" si="19"/>
        <v>6526.472118959108</v>
      </c>
      <c r="L54" s="15">
        <f t="shared" si="19"/>
        <v>6764.0385078219015</v>
      </c>
      <c r="M54" s="15"/>
      <c r="N54" s="15">
        <f>N34/N14</f>
        <v>6249.017770373455</v>
      </c>
      <c r="P54" s="13" t="s">
        <v>17</v>
      </c>
      <c r="Q54" s="15">
        <f aca="true" t="shared" si="20" ref="Q54:AC54">Q34/Q14</f>
        <v>4323.322580645161</v>
      </c>
      <c r="R54" s="15">
        <f t="shared" si="20"/>
        <v>3440.9444444444443</v>
      </c>
      <c r="S54" s="15">
        <f t="shared" si="20"/>
        <v>3892.3662790697676</v>
      </c>
      <c r="T54" s="15">
        <f t="shared" si="20"/>
        <v>3450.296511627907</v>
      </c>
      <c r="U54" s="15">
        <f t="shared" si="20"/>
        <v>1535</v>
      </c>
      <c r="V54" s="15">
        <f t="shared" si="20"/>
        <v>2882.7</v>
      </c>
      <c r="W54" s="15">
        <f t="shared" si="20"/>
        <v>3986.0967741935483</v>
      </c>
      <c r="X54" s="15">
        <f t="shared" si="20"/>
        <v>3205.4368932038833</v>
      </c>
      <c r="Y54" s="15">
        <f t="shared" si="20"/>
        <v>3777.5934065934066</v>
      </c>
      <c r="Z54" s="15">
        <f t="shared" si="20"/>
        <v>3444.5</v>
      </c>
      <c r="AA54" s="15">
        <f t="shared" si="20"/>
        <v>3884.521739130435</v>
      </c>
      <c r="AB54" s="15"/>
      <c r="AC54" s="15">
        <f t="shared" si="20"/>
        <v>3685.621597096189</v>
      </c>
    </row>
    <row r="55" spans="1:29" ht="12.75">
      <c r="A55" s="4" t="s">
        <v>18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P55" s="13" t="s">
        <v>18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2.75">
      <c r="A56" s="4" t="s">
        <v>19</v>
      </c>
      <c r="B56" s="15">
        <v>36199.108</v>
      </c>
      <c r="C56" s="15"/>
      <c r="D56" s="15">
        <v>16339.267</v>
      </c>
      <c r="E56" s="15">
        <f>E36/E16</f>
        <v>23127.5</v>
      </c>
      <c r="F56" s="15">
        <f>F36/F16</f>
        <v>33584.5</v>
      </c>
      <c r="G56" s="15">
        <f>G36/G16</f>
        <v>23019.666666666668</v>
      </c>
      <c r="H56" s="15"/>
      <c r="I56" s="15">
        <f>I36/I16</f>
        <v>24929</v>
      </c>
      <c r="J56" s="15">
        <f>J36/J16</f>
        <v>7068</v>
      </c>
      <c r="K56" s="15">
        <f>K36/K16</f>
        <v>11647.714285714286</v>
      </c>
      <c r="L56" s="15"/>
      <c r="M56" s="15"/>
      <c r="N56" s="15">
        <v>22447.489</v>
      </c>
      <c r="P56" s="13" t="s">
        <v>19</v>
      </c>
      <c r="Q56" s="15"/>
      <c r="R56" s="15"/>
      <c r="S56" s="15">
        <f>S36/S16</f>
        <v>9395.57142857143</v>
      </c>
      <c r="T56" s="15"/>
      <c r="U56" s="15"/>
      <c r="V56" s="15">
        <f>V36/V16</f>
        <v>3902.12987012987</v>
      </c>
      <c r="W56" s="15"/>
      <c r="X56" s="15">
        <f>X36/X16</f>
        <v>5632</v>
      </c>
      <c r="Y56" s="15">
        <f>Y36/Y16</f>
        <v>5047</v>
      </c>
      <c r="Z56" s="15"/>
      <c r="AA56" s="15"/>
      <c r="AB56" s="15"/>
      <c r="AC56" s="15">
        <f>AC36/AC16</f>
        <v>4338.874189461131</v>
      </c>
    </row>
    <row r="57" spans="1:29" ht="12.75">
      <c r="A57" s="11" t="s">
        <v>26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8"/>
      <c r="N57" s="18"/>
      <c r="P57" s="11" t="s">
        <v>35</v>
      </c>
      <c r="Q57" s="18"/>
      <c r="R57" s="18"/>
      <c r="S57" s="18"/>
      <c r="T57" s="18"/>
      <c r="U57" s="18"/>
      <c r="V57" s="18"/>
      <c r="W57" s="18"/>
      <c r="X57" s="18"/>
      <c r="Y57" s="18"/>
      <c r="Z57" s="18">
        <f>Z37/Z17</f>
        <v>8315.75</v>
      </c>
      <c r="AA57" s="18"/>
      <c r="AB57" s="18"/>
      <c r="AC57" s="18"/>
    </row>
    <row r="58" spans="1:29" ht="12.75">
      <c r="A58" s="1" t="s">
        <v>20</v>
      </c>
      <c r="B58" s="17">
        <f>B38/B18</f>
        <v>4914.968465184105</v>
      </c>
      <c r="C58" s="17">
        <f>C38/C18</f>
        <v>5134.05938821998</v>
      </c>
      <c r="D58" s="17">
        <f>D38/D18</f>
        <v>5211.60391198044</v>
      </c>
      <c r="E58" s="17">
        <f>E38/E18</f>
        <v>5678.260144699591</v>
      </c>
      <c r="F58" s="17">
        <f>F38/F18</f>
        <v>4995.589650537634</v>
      </c>
      <c r="G58" s="17">
        <f aca="true" t="shared" si="21" ref="G58:L58">G38/G18</f>
        <v>5206.855940846507</v>
      </c>
      <c r="H58" s="17">
        <f t="shared" si="21"/>
        <v>5027.128579050329</v>
      </c>
      <c r="I58" s="17">
        <f t="shared" si="21"/>
        <v>4692.130375114364</v>
      </c>
      <c r="J58" s="17">
        <f t="shared" si="21"/>
        <v>4735.83406374502</v>
      </c>
      <c r="K58" s="17">
        <f t="shared" si="21"/>
        <v>5074.510570026425</v>
      </c>
      <c r="L58" s="17">
        <f t="shared" si="21"/>
        <v>4774.416069100391</v>
      </c>
      <c r="M58" s="17"/>
      <c r="N58" s="17">
        <f>N38/N18</f>
        <v>5052.481023805056</v>
      </c>
      <c r="P58" s="1" t="s">
        <v>20</v>
      </c>
      <c r="Q58" s="18">
        <f aca="true" t="shared" si="22" ref="Q58:AC58">Q38/Q18</f>
        <v>3914.2013630731103</v>
      </c>
      <c r="R58" s="17">
        <f t="shared" si="22"/>
        <v>3909.110771113831</v>
      </c>
      <c r="S58" s="17">
        <f t="shared" si="22"/>
        <v>4064.8481198589893</v>
      </c>
      <c r="T58" s="17">
        <f t="shared" si="22"/>
        <v>4085.5862448418156</v>
      </c>
      <c r="U58" s="17">
        <f t="shared" si="22"/>
        <v>3840.342263531985</v>
      </c>
      <c r="V58" s="17">
        <f t="shared" si="22"/>
        <v>3902.12987012987</v>
      </c>
      <c r="W58" s="17">
        <f t="shared" si="22"/>
        <v>3839.4081437125747</v>
      </c>
      <c r="X58" s="17">
        <f t="shared" si="22"/>
        <v>3454.100791717418</v>
      </c>
      <c r="Y58" s="17">
        <f t="shared" si="22"/>
        <v>4077.067942583732</v>
      </c>
      <c r="Z58" s="17">
        <f t="shared" si="22"/>
        <v>4220.912807244502</v>
      </c>
      <c r="AA58" s="17">
        <f t="shared" si="22"/>
        <v>4305.477118393859</v>
      </c>
      <c r="AB58" s="17"/>
      <c r="AC58" s="17">
        <f t="shared" si="22"/>
        <v>4338.874189461131</v>
      </c>
    </row>
    <row r="59" spans="1:16" ht="12.75">
      <c r="A59" s="5" t="s">
        <v>24</v>
      </c>
      <c r="P59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workbookViewId="0" topLeftCell="A1">
      <selection activeCell="N25" sqref="N25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</cols>
  <sheetData>
    <row r="1" spans="1:16" ht="12.75">
      <c r="A1" t="s">
        <v>42</v>
      </c>
      <c r="P1" t="s">
        <v>43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49" t="s">
        <v>25</v>
      </c>
    </row>
    <row r="4" spans="1:29" ht="12.75">
      <c r="A4" s="3" t="s">
        <v>9</v>
      </c>
      <c r="B4" s="7">
        <f>89+443+188+17+12+426+502+6+1+1</f>
        <v>1685</v>
      </c>
      <c r="C4" s="7">
        <f>222+503+381+44+2+494+595+5+2</f>
        <v>2248</v>
      </c>
      <c r="D4" s="7">
        <f>193+505+237+11+560+480+8+2</f>
        <v>1996</v>
      </c>
      <c r="E4" s="7">
        <f>225+2529+272+39+1+553+489+9+1</f>
        <v>4118</v>
      </c>
      <c r="F4" s="7">
        <f>132+488+292+36+474+583+23+4</f>
        <v>2032</v>
      </c>
      <c r="G4" s="7">
        <f>161+501+1089+8+436+586+14+1</f>
        <v>2796</v>
      </c>
      <c r="H4" s="7">
        <f>115+587+174+17+1+540+664+11+2</f>
        <v>2111</v>
      </c>
      <c r="I4" s="7">
        <f>133+551+302+19+12+703+624+16+6</f>
        <v>2366</v>
      </c>
      <c r="J4" s="7">
        <f>138+621+285+19+766+585+41+10</f>
        <v>2465</v>
      </c>
      <c r="K4" s="7">
        <f>144+603+279+34+767+767+14+4</f>
        <v>2612</v>
      </c>
      <c r="L4" s="7">
        <v>2940</v>
      </c>
      <c r="M4" s="7">
        <v>3477</v>
      </c>
      <c r="N4" s="7">
        <f>SUM(B4:M4)</f>
        <v>30846</v>
      </c>
      <c r="P4" s="3" t="s">
        <v>9</v>
      </c>
      <c r="Q4" s="7">
        <f>107+27+321+56+5+13+40</f>
        <v>569</v>
      </c>
      <c r="R4" s="7">
        <f>265+34+359+71+18+6+36+1+1</f>
        <v>791</v>
      </c>
      <c r="S4" s="7">
        <f>177+48+303+47+5+17+48+2</f>
        <v>647</v>
      </c>
      <c r="T4" s="7">
        <f>215+34+279+2048+13+7+175</f>
        <v>2771</v>
      </c>
      <c r="U4" s="7">
        <f>302+51+129+22+79+11+42+1+1</f>
        <v>638</v>
      </c>
      <c r="V4" s="7">
        <f>167+30+192+14+5+2+44+4</f>
        <v>458</v>
      </c>
      <c r="W4" s="7">
        <f>121+39+96+37+21+45+72+59+7</f>
        <v>497</v>
      </c>
      <c r="X4" s="7">
        <f>117+31+158+31+44+28+52+8</f>
        <v>469</v>
      </c>
      <c r="Y4" s="7">
        <f>207+63+194+181+6+21+28+34</f>
        <v>734</v>
      </c>
      <c r="Z4" s="7">
        <f>246+57+171+20+4+36+54+150+9</f>
        <v>747</v>
      </c>
      <c r="AA4" s="7">
        <v>645</v>
      </c>
      <c r="AB4" s="67">
        <v>805</v>
      </c>
      <c r="AC4" s="7">
        <f>SUM(Q4:AB4)</f>
        <v>9771</v>
      </c>
    </row>
    <row r="5" spans="1:29" ht="12.75">
      <c r="A5" s="4" t="s">
        <v>27</v>
      </c>
      <c r="B5" s="8"/>
      <c r="C5" s="8">
        <v>1</v>
      </c>
      <c r="D5" s="8"/>
      <c r="E5" s="8">
        <v>41</v>
      </c>
      <c r="F5" s="8"/>
      <c r="G5" s="8">
        <f>G25/G45</f>
        <v>0.011010469163772792</v>
      </c>
      <c r="H5" s="8"/>
      <c r="I5" s="8"/>
      <c r="J5" s="8"/>
      <c r="K5" s="8"/>
      <c r="L5" s="8">
        <v>17</v>
      </c>
      <c r="M5" s="8">
        <v>7</v>
      </c>
      <c r="N5" s="8">
        <f aca="true" t="shared" si="0" ref="N5:N18">SUM(B5:M5)</f>
        <v>66.01101046916378</v>
      </c>
      <c r="P5" s="4" t="s">
        <v>27</v>
      </c>
      <c r="Q5" s="8"/>
      <c r="R5" s="8"/>
      <c r="S5" s="8"/>
      <c r="T5" s="8">
        <v>1</v>
      </c>
      <c r="U5" s="8">
        <v>10</v>
      </c>
      <c r="V5" s="8">
        <v>2</v>
      </c>
      <c r="W5" s="8">
        <v>6</v>
      </c>
      <c r="X5" s="8"/>
      <c r="Y5" s="8">
        <v>11</v>
      </c>
      <c r="Z5" s="8"/>
      <c r="AA5" s="8">
        <v>24</v>
      </c>
      <c r="AB5" s="47">
        <v>42</v>
      </c>
      <c r="AC5" s="8">
        <f aca="true" t="shared" si="1" ref="AC5:AC18">SUM(Q5:AB5)</f>
        <v>96</v>
      </c>
    </row>
    <row r="6" spans="1:29" ht="12.75">
      <c r="A6" s="4" t="s">
        <v>10</v>
      </c>
      <c r="B6" s="8"/>
      <c r="C6" s="8"/>
      <c r="D6" s="8"/>
      <c r="E6" s="8"/>
      <c r="F6" s="8"/>
      <c r="G6" s="8">
        <f>G26/G46</f>
        <v>1.5701244632008504</v>
      </c>
      <c r="H6" s="8"/>
      <c r="I6" s="8"/>
      <c r="J6" s="8"/>
      <c r="K6" s="8"/>
      <c r="L6" s="8"/>
      <c r="M6" s="8"/>
      <c r="N6" s="8">
        <f t="shared" si="0"/>
        <v>1.5701244632008504</v>
      </c>
      <c r="P6" s="4" t="s">
        <v>10</v>
      </c>
      <c r="Q6" s="8"/>
      <c r="R6" s="8"/>
      <c r="S6" s="8">
        <v>4</v>
      </c>
      <c r="T6" s="8"/>
      <c r="U6" s="8">
        <v>1</v>
      </c>
      <c r="V6" s="8">
        <v>4</v>
      </c>
      <c r="W6" s="8">
        <v>3</v>
      </c>
      <c r="X6" s="8"/>
      <c r="Y6" s="8">
        <v>3</v>
      </c>
      <c r="Z6" s="8"/>
      <c r="AA6" s="8">
        <v>8</v>
      </c>
      <c r="AB6" s="47"/>
      <c r="AC6" s="8">
        <f t="shared" si="1"/>
        <v>23</v>
      </c>
    </row>
    <row r="7" spans="1:29" ht="12.75">
      <c r="A7" s="4" t="s">
        <v>33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4" t="s">
        <v>33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47"/>
      <c r="AC7" s="8"/>
    </row>
    <row r="8" spans="1:29" ht="12.75">
      <c r="A8" s="4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P8" s="4" t="s">
        <v>11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47"/>
      <c r="AC8" s="8"/>
    </row>
    <row r="9" spans="1:29" ht="12.75">
      <c r="A9" s="4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4" t="s">
        <v>12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47"/>
      <c r="AC9" s="8"/>
    </row>
    <row r="10" spans="1:29" ht="12.75">
      <c r="A10" s="4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P10" s="4" t="s">
        <v>13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47"/>
      <c r="AC10" s="8"/>
    </row>
    <row r="11" spans="1:29" ht="12.75">
      <c r="A11" s="4" t="s">
        <v>14</v>
      </c>
      <c r="B11" s="8">
        <v>152</v>
      </c>
      <c r="C11" s="8">
        <v>288</v>
      </c>
      <c r="D11" s="8">
        <v>318</v>
      </c>
      <c r="E11" s="8">
        <v>370</v>
      </c>
      <c r="F11" s="8">
        <v>407</v>
      </c>
      <c r="G11" s="8">
        <v>344</v>
      </c>
      <c r="H11" s="8">
        <v>342</v>
      </c>
      <c r="I11" s="8">
        <v>617</v>
      </c>
      <c r="J11" s="8">
        <v>434</v>
      </c>
      <c r="K11" s="8">
        <v>415</v>
      </c>
      <c r="L11" s="8">
        <v>415</v>
      </c>
      <c r="M11" s="8">
        <v>716</v>
      </c>
      <c r="N11" s="8">
        <f t="shared" si="0"/>
        <v>4818</v>
      </c>
      <c r="P11" s="4" t="s">
        <v>14</v>
      </c>
      <c r="Q11" s="8">
        <v>1070</v>
      </c>
      <c r="R11" s="8">
        <v>1140</v>
      </c>
      <c r="S11" s="8">
        <v>991</v>
      </c>
      <c r="T11" s="8">
        <v>1505</v>
      </c>
      <c r="U11" s="8">
        <v>1078</v>
      </c>
      <c r="V11" s="8">
        <v>999</v>
      </c>
      <c r="W11" s="8">
        <v>780</v>
      </c>
      <c r="X11" s="8">
        <v>1156</v>
      </c>
      <c r="Y11" s="8">
        <v>953</v>
      </c>
      <c r="Z11" s="8">
        <v>1308</v>
      </c>
      <c r="AA11" s="8">
        <v>745</v>
      </c>
      <c r="AB11" s="47">
        <v>1215</v>
      </c>
      <c r="AC11" s="8">
        <f t="shared" si="1"/>
        <v>12940</v>
      </c>
    </row>
    <row r="12" spans="1:29" ht="12.75">
      <c r="A12" s="4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4" t="s">
        <v>15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47"/>
      <c r="AC12" s="8"/>
    </row>
    <row r="13" spans="1:29" ht="12.75">
      <c r="A13" s="4" t="s">
        <v>16</v>
      </c>
      <c r="B13" s="8">
        <v>133</v>
      </c>
      <c r="C13" s="8">
        <v>150</v>
      </c>
      <c r="D13" s="8">
        <v>188</v>
      </c>
      <c r="E13" s="8">
        <v>153</v>
      </c>
      <c r="F13" s="8">
        <v>184</v>
      </c>
      <c r="G13" s="8">
        <v>131</v>
      </c>
      <c r="H13" s="8">
        <v>115</v>
      </c>
      <c r="I13" s="8">
        <v>147</v>
      </c>
      <c r="J13" s="8">
        <v>152</v>
      </c>
      <c r="K13" s="8">
        <v>180</v>
      </c>
      <c r="L13" s="8">
        <v>249</v>
      </c>
      <c r="M13" s="8">
        <v>413</v>
      </c>
      <c r="N13" s="8">
        <f t="shared" si="0"/>
        <v>2195</v>
      </c>
      <c r="P13" s="4" t="s">
        <v>16</v>
      </c>
      <c r="Q13" s="8">
        <v>404</v>
      </c>
      <c r="R13" s="8">
        <v>213</v>
      </c>
      <c r="S13" s="8">
        <v>207</v>
      </c>
      <c r="T13" s="8">
        <v>161</v>
      </c>
      <c r="U13" s="8">
        <v>78</v>
      </c>
      <c r="V13" s="8">
        <v>126</v>
      </c>
      <c r="W13" s="8">
        <v>66</v>
      </c>
      <c r="X13" s="8">
        <v>115</v>
      </c>
      <c r="Y13" s="8">
        <v>185</v>
      </c>
      <c r="Z13" s="8">
        <v>247</v>
      </c>
      <c r="AA13" s="8">
        <v>597</v>
      </c>
      <c r="AB13" s="47">
        <v>286</v>
      </c>
      <c r="AC13" s="8">
        <f t="shared" si="1"/>
        <v>2685</v>
      </c>
    </row>
    <row r="14" spans="1:29" ht="12.75">
      <c r="A14" s="4" t="s">
        <v>17</v>
      </c>
      <c r="B14" s="8">
        <v>139</v>
      </c>
      <c r="C14" s="8">
        <v>142</v>
      </c>
      <c r="D14" s="8">
        <v>198</v>
      </c>
      <c r="E14" s="8">
        <v>217</v>
      </c>
      <c r="F14" s="8">
        <v>294</v>
      </c>
      <c r="G14" s="8">
        <v>266</v>
      </c>
      <c r="H14" s="8">
        <v>181</v>
      </c>
      <c r="I14" s="8">
        <v>310</v>
      </c>
      <c r="J14" s="8">
        <v>251</v>
      </c>
      <c r="K14" s="8">
        <v>289</v>
      </c>
      <c r="L14" s="8">
        <v>351</v>
      </c>
      <c r="M14" s="8">
        <v>411</v>
      </c>
      <c r="N14" s="8">
        <f t="shared" si="0"/>
        <v>3049</v>
      </c>
      <c r="P14" s="4" t="s">
        <v>17</v>
      </c>
      <c r="Q14" s="8">
        <v>156</v>
      </c>
      <c r="R14" s="8">
        <v>208</v>
      </c>
      <c r="S14" s="8">
        <v>86</v>
      </c>
      <c r="T14" s="8">
        <v>31</v>
      </c>
      <c r="U14" s="8">
        <v>25</v>
      </c>
      <c r="V14" s="8">
        <v>8</v>
      </c>
      <c r="W14" s="8">
        <v>18</v>
      </c>
      <c r="X14" s="8">
        <v>20</v>
      </c>
      <c r="Y14" s="8">
        <v>117</v>
      </c>
      <c r="Z14" s="8">
        <v>98</v>
      </c>
      <c r="AA14" s="8">
        <v>129</v>
      </c>
      <c r="AB14" s="47">
        <v>157</v>
      </c>
      <c r="AC14" s="8">
        <f t="shared" si="1"/>
        <v>1053</v>
      </c>
    </row>
    <row r="15" spans="1:29" ht="12.75">
      <c r="A15" s="4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P15" s="4" t="s">
        <v>18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47"/>
      <c r="AC15" s="8"/>
    </row>
    <row r="16" spans="1:29" ht="12.75">
      <c r="A16" s="4" t="s">
        <v>19</v>
      </c>
      <c r="B16" s="8"/>
      <c r="C16" s="8"/>
      <c r="D16" s="8"/>
      <c r="E16" s="8">
        <v>3</v>
      </c>
      <c r="F16" s="8"/>
      <c r="G16" s="8"/>
      <c r="H16" s="8"/>
      <c r="I16" s="8">
        <v>2</v>
      </c>
      <c r="J16" s="8"/>
      <c r="K16" s="8"/>
      <c r="L16" s="8"/>
      <c r="M16" s="8"/>
      <c r="N16" s="8">
        <f t="shared" si="0"/>
        <v>5</v>
      </c>
      <c r="P16" s="4" t="s">
        <v>19</v>
      </c>
      <c r="Q16" s="8"/>
      <c r="R16" s="8"/>
      <c r="S16" s="8">
        <v>17</v>
      </c>
      <c r="T16" s="8">
        <v>30</v>
      </c>
      <c r="U16" s="8"/>
      <c r="V16" s="8"/>
      <c r="W16" s="8">
        <v>3</v>
      </c>
      <c r="X16" s="8">
        <v>24</v>
      </c>
      <c r="Y16" s="8"/>
      <c r="Z16" s="8"/>
      <c r="AA16" s="8"/>
      <c r="AB16" s="47">
        <v>33</v>
      </c>
      <c r="AC16" s="8">
        <f t="shared" si="1"/>
        <v>107</v>
      </c>
    </row>
    <row r="17" spans="1:29" ht="12.75">
      <c r="A17" s="11" t="s">
        <v>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 t="s">
        <v>35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9"/>
    </row>
    <row r="18" spans="1:29" ht="12.75">
      <c r="A18" s="1" t="s">
        <v>20</v>
      </c>
      <c r="B18" s="10">
        <f>SUM(B4:B17)</f>
        <v>2109</v>
      </c>
      <c r="C18" s="10">
        <f aca="true" t="shared" si="2" ref="C18:M18">SUM(C4:C17)</f>
        <v>2829</v>
      </c>
      <c r="D18" s="10">
        <f t="shared" si="2"/>
        <v>2700</v>
      </c>
      <c r="E18" s="10">
        <f t="shared" si="2"/>
        <v>4902</v>
      </c>
      <c r="F18" s="10">
        <f t="shared" si="2"/>
        <v>2917</v>
      </c>
      <c r="G18" s="10">
        <f t="shared" si="2"/>
        <v>3538.581134932365</v>
      </c>
      <c r="H18" s="10">
        <f t="shared" si="2"/>
        <v>2749</v>
      </c>
      <c r="I18" s="10">
        <f t="shared" si="2"/>
        <v>3442</v>
      </c>
      <c r="J18" s="10">
        <f t="shared" si="2"/>
        <v>3302</v>
      </c>
      <c r="K18" s="10">
        <f t="shared" si="2"/>
        <v>3496</v>
      </c>
      <c r="L18" s="10">
        <f t="shared" si="2"/>
        <v>3972</v>
      </c>
      <c r="M18" s="10">
        <f t="shared" si="2"/>
        <v>5024</v>
      </c>
      <c r="N18" s="10">
        <f t="shared" si="0"/>
        <v>40980.58113493236</v>
      </c>
      <c r="P18" s="1" t="s">
        <v>20</v>
      </c>
      <c r="Q18" s="10">
        <f>SUM(Q4:Q17)</f>
        <v>2199</v>
      </c>
      <c r="R18" s="10">
        <f aca="true" t="shared" si="3" ref="R18:AB18">SUM(R4:R17)</f>
        <v>2352</v>
      </c>
      <c r="S18" s="10">
        <f t="shared" si="3"/>
        <v>1952</v>
      </c>
      <c r="T18" s="10">
        <f t="shared" si="3"/>
        <v>4499</v>
      </c>
      <c r="U18" s="10">
        <f t="shared" si="3"/>
        <v>1830</v>
      </c>
      <c r="V18" s="10">
        <f t="shared" si="3"/>
        <v>1597</v>
      </c>
      <c r="W18" s="10">
        <f t="shared" si="3"/>
        <v>1373</v>
      </c>
      <c r="X18" s="10">
        <f t="shared" si="3"/>
        <v>1784</v>
      </c>
      <c r="Y18" s="10">
        <f t="shared" si="3"/>
        <v>2003</v>
      </c>
      <c r="Z18" s="10">
        <f t="shared" si="3"/>
        <v>2400</v>
      </c>
      <c r="AA18" s="10">
        <f t="shared" si="3"/>
        <v>2148</v>
      </c>
      <c r="AB18" s="10">
        <f t="shared" si="3"/>
        <v>2538</v>
      </c>
      <c r="AC18" s="10">
        <f t="shared" si="1"/>
        <v>26675</v>
      </c>
    </row>
    <row r="19" spans="1:16" ht="12.75">
      <c r="A19" s="5" t="s">
        <v>24</v>
      </c>
      <c r="P19" s="5" t="s">
        <v>24</v>
      </c>
    </row>
    <row r="20" ht="12.75">
      <c r="N20" s="42"/>
    </row>
    <row r="21" spans="1:16" ht="12.75">
      <c r="A21" t="s">
        <v>42</v>
      </c>
      <c r="P21" t="s">
        <v>43</v>
      </c>
    </row>
    <row r="22" spans="1:16" ht="12.75">
      <c r="A22" t="s">
        <v>31</v>
      </c>
      <c r="P22" t="s">
        <v>31</v>
      </c>
    </row>
    <row r="23" spans="1:29" ht="12.75">
      <c r="A23" s="1" t="s">
        <v>21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28</v>
      </c>
      <c r="L23" s="2" t="s">
        <v>29</v>
      </c>
      <c r="M23" s="2" t="s">
        <v>30</v>
      </c>
      <c r="N23" s="6" t="s">
        <v>25</v>
      </c>
      <c r="P23" s="1" t="s">
        <v>21</v>
      </c>
      <c r="Q23" s="2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2" t="s">
        <v>6</v>
      </c>
      <c r="X23" s="2" t="s">
        <v>7</v>
      </c>
      <c r="Y23" s="2" t="s">
        <v>8</v>
      </c>
      <c r="Z23" s="2" t="s">
        <v>28</v>
      </c>
      <c r="AA23" s="2" t="s">
        <v>29</v>
      </c>
      <c r="AB23" s="2" t="s">
        <v>30</v>
      </c>
      <c r="AC23" s="6" t="s">
        <v>25</v>
      </c>
    </row>
    <row r="24" spans="1:29" ht="12.75">
      <c r="A24" s="3" t="s">
        <v>9</v>
      </c>
      <c r="B24" s="7">
        <f>840791+5233535+2054126+140969+22403+4026705+4509719+62718+11038+6319</f>
        <v>16908323</v>
      </c>
      <c r="C24" s="7">
        <f>1546659+5477536+3545664+463989+5007+4610204+5580698+54732+9444</f>
        <v>21293933</v>
      </c>
      <c r="D24" s="7">
        <f>1387611+5871048+2815824+82615+5322198+4890281+87491+9950</f>
        <v>20467018</v>
      </c>
      <c r="E24" s="7">
        <f>1625194+6268797+2982152+281400+2006+4632484+5363765+110297+9584</f>
        <v>21275679</v>
      </c>
      <c r="F24" s="7">
        <f>1246507+5864083+3495138+214154+4558498+6263718+273792+31191</f>
        <v>21947081</v>
      </c>
      <c r="G24" s="7">
        <f>1748373+5976463+2607855+53507+3765277+5995350+189694+12455</f>
        <v>20348974</v>
      </c>
      <c r="H24" s="7">
        <f>1174244+6894969+2176893+148712+33870+4939590+6212729+119934+18271</f>
        <v>21719212</v>
      </c>
      <c r="I24" s="7">
        <f>1242468+6317286+3633001+193939+10468+6143308+6348812+149329+40147</f>
        <v>24078758</v>
      </c>
      <c r="J24" s="7">
        <f>1419011+6645328+3297780+114683+6025895+5628835+476407+58558</f>
        <v>23666497</v>
      </c>
      <c r="K24" s="7">
        <f>1302991+6474782+2786680+163434+5842805+8073362+216320+21243</f>
        <v>24881617</v>
      </c>
      <c r="L24" s="7">
        <v>25146427</v>
      </c>
      <c r="M24" s="7">
        <v>32644921</v>
      </c>
      <c r="N24" s="7">
        <f>SUM(B24:M24)</f>
        <v>274378440</v>
      </c>
      <c r="P24" s="3" t="s">
        <v>9</v>
      </c>
      <c r="Q24" s="7">
        <f>415137+173261+1072607+157040+40272+49072+461207</f>
        <v>2368596</v>
      </c>
      <c r="R24" s="7">
        <f>862480+227722+1199956+463800+185400+25350+350382+10103+5863</f>
        <v>3331056</v>
      </c>
      <c r="S24" s="7">
        <f>758126+514581+1155144+166249+17475+70209+437161+23373</f>
        <v>3142318</v>
      </c>
      <c r="T24" s="7">
        <f>718671+379410+1459140+128683+76642+44030+772770</f>
        <v>3579346</v>
      </c>
      <c r="U24" s="7">
        <f>1060722+405824+798004+241263+493149+40682+474682+6491+25293</f>
        <v>3546110</v>
      </c>
      <c r="V24" s="7">
        <f>657770+390525+827887+104896+37783+32582+424079+18795</f>
        <v>2494317</v>
      </c>
      <c r="W24" s="7">
        <f>350653+365225+421363+336465+158551+154407+722268+158517+33700</f>
        <v>2701149</v>
      </c>
      <c r="X24" s="7">
        <f>446226+320568+791546+218338+251518+102414+507283+314+21547</f>
        <v>2659754</v>
      </c>
      <c r="Y24" s="7">
        <f>604805+830237+694083+818378+31804+44133+392149+66937+206</f>
        <v>3482732</v>
      </c>
      <c r="Z24" s="7">
        <f>700459+405977+652670+162928+22971+122746+518565+223083+44094</f>
        <v>2853493</v>
      </c>
      <c r="AA24" s="7">
        <v>2941925</v>
      </c>
      <c r="AB24" s="7">
        <v>3340269</v>
      </c>
      <c r="AC24" s="7">
        <f>SUM(Q24:AB24)</f>
        <v>36441065</v>
      </c>
    </row>
    <row r="25" spans="1:29" ht="12.75">
      <c r="A25" s="4" t="s">
        <v>27</v>
      </c>
      <c r="B25" s="8"/>
      <c r="C25" s="8">
        <v>4743</v>
      </c>
      <c r="D25" s="8"/>
      <c r="E25" s="8">
        <v>130514</v>
      </c>
      <c r="F25" s="8"/>
      <c r="G25" s="8">
        <v>129</v>
      </c>
      <c r="H25" s="8"/>
      <c r="I25" s="8"/>
      <c r="J25" s="8"/>
      <c r="K25" s="8"/>
      <c r="L25" s="8">
        <v>93813</v>
      </c>
      <c r="M25" s="8">
        <v>21112</v>
      </c>
      <c r="N25" s="8">
        <f aca="true" t="shared" si="4" ref="N25:N36">SUM(B25:M25)</f>
        <v>250311</v>
      </c>
      <c r="P25" s="4" t="s">
        <v>27</v>
      </c>
      <c r="Q25" s="8"/>
      <c r="R25" s="8"/>
      <c r="S25" s="8"/>
      <c r="T25" s="8">
        <v>16235</v>
      </c>
      <c r="U25" s="8">
        <v>63713</v>
      </c>
      <c r="V25" s="8">
        <v>13064</v>
      </c>
      <c r="W25" s="8">
        <v>24309</v>
      </c>
      <c r="X25" s="8"/>
      <c r="Y25" s="8">
        <v>17061</v>
      </c>
      <c r="Z25" s="8"/>
      <c r="AA25" s="8">
        <v>66348</v>
      </c>
      <c r="AB25" s="8">
        <v>98875</v>
      </c>
      <c r="AC25" s="8">
        <f aca="true" t="shared" si="5" ref="AC25:AC38">SUM(Q25:AB25)</f>
        <v>299605</v>
      </c>
    </row>
    <row r="26" spans="1:29" ht="12.75">
      <c r="A26" s="4" t="s">
        <v>10</v>
      </c>
      <c r="B26" s="8"/>
      <c r="C26" s="8"/>
      <c r="D26" s="8"/>
      <c r="E26" s="8"/>
      <c r="F26" s="8"/>
      <c r="G26" s="8">
        <v>4888</v>
      </c>
      <c r="H26" s="8"/>
      <c r="I26" s="8"/>
      <c r="J26" s="8"/>
      <c r="K26" s="8"/>
      <c r="L26" s="8"/>
      <c r="M26" s="8"/>
      <c r="N26" s="8">
        <f t="shared" si="4"/>
        <v>4888</v>
      </c>
      <c r="P26" s="4" t="s">
        <v>10</v>
      </c>
      <c r="Q26" s="8"/>
      <c r="R26" s="8"/>
      <c r="S26" s="8">
        <v>25129</v>
      </c>
      <c r="T26" s="8"/>
      <c r="U26" s="8">
        <v>5211</v>
      </c>
      <c r="V26" s="8">
        <v>23694</v>
      </c>
      <c r="W26" s="8">
        <v>11136</v>
      </c>
      <c r="X26" s="8"/>
      <c r="Y26" s="8">
        <v>14493</v>
      </c>
      <c r="Z26" s="8"/>
      <c r="AA26" s="8">
        <v>20516</v>
      </c>
      <c r="AB26" s="8"/>
      <c r="AC26" s="8">
        <f t="shared" si="5"/>
        <v>100179</v>
      </c>
    </row>
    <row r="27" spans="1:29" ht="12.75">
      <c r="A27" s="4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P27" s="4" t="s">
        <v>33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.75">
      <c r="A28" s="4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P28" s="4" t="s">
        <v>11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.75">
      <c r="A29" s="4" t="s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P29" s="4" t="s">
        <v>12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.75">
      <c r="A30" s="4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P30" s="4" t="s">
        <v>13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.75">
      <c r="A31" s="4" t="s">
        <v>14</v>
      </c>
      <c r="B31" s="8">
        <v>702062</v>
      </c>
      <c r="C31" s="8">
        <v>1580957</v>
      </c>
      <c r="D31" s="8">
        <v>1730042</v>
      </c>
      <c r="E31" s="8">
        <v>1845928</v>
      </c>
      <c r="F31" s="8">
        <v>2154970</v>
      </c>
      <c r="G31" s="8">
        <v>2102443</v>
      </c>
      <c r="H31" s="8">
        <v>1882245</v>
      </c>
      <c r="I31" s="8">
        <v>2563819</v>
      </c>
      <c r="J31" s="8">
        <v>1939558</v>
      </c>
      <c r="K31" s="8">
        <v>1845972</v>
      </c>
      <c r="L31" s="8">
        <v>2237620</v>
      </c>
      <c r="M31" s="8">
        <v>4609007</v>
      </c>
      <c r="N31" s="8">
        <f t="shared" si="4"/>
        <v>25194623</v>
      </c>
      <c r="P31" s="4" t="s">
        <v>14</v>
      </c>
      <c r="Q31" s="8">
        <v>3757385</v>
      </c>
      <c r="R31" s="8">
        <v>3999792</v>
      </c>
      <c r="S31" s="8">
        <v>3325441</v>
      </c>
      <c r="T31" s="8">
        <v>5452500</v>
      </c>
      <c r="U31" s="8">
        <v>3534215</v>
      </c>
      <c r="V31" s="8">
        <v>3893270</v>
      </c>
      <c r="W31" s="8">
        <v>2940273</v>
      </c>
      <c r="X31" s="8">
        <v>4249925</v>
      </c>
      <c r="Y31" s="8">
        <v>3670177</v>
      </c>
      <c r="Z31" s="8">
        <v>4292764</v>
      </c>
      <c r="AA31" s="8">
        <v>2838465</v>
      </c>
      <c r="AB31" s="8">
        <v>5542142</v>
      </c>
      <c r="AC31" s="8">
        <f t="shared" si="5"/>
        <v>47496349</v>
      </c>
    </row>
    <row r="32" spans="1:29" ht="12.75">
      <c r="A32" s="4" t="s">
        <v>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P32" s="4" t="s">
        <v>15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.75">
      <c r="A33" s="4" t="s">
        <v>16</v>
      </c>
      <c r="B33" s="8">
        <v>763930</v>
      </c>
      <c r="C33" s="8">
        <v>892623</v>
      </c>
      <c r="D33" s="8">
        <v>1076308</v>
      </c>
      <c r="E33" s="8">
        <v>966680</v>
      </c>
      <c r="F33" s="8">
        <v>1101357</v>
      </c>
      <c r="G33" s="8">
        <v>855552</v>
      </c>
      <c r="H33" s="8">
        <v>718740</v>
      </c>
      <c r="I33" s="8">
        <v>928406</v>
      </c>
      <c r="J33" s="8">
        <v>851693</v>
      </c>
      <c r="K33" s="8">
        <v>958757</v>
      </c>
      <c r="L33" s="8">
        <v>1378136</v>
      </c>
      <c r="M33" s="8">
        <v>2750477</v>
      </c>
      <c r="N33" s="8">
        <f t="shared" si="4"/>
        <v>13242659</v>
      </c>
      <c r="P33" s="4" t="s">
        <v>16</v>
      </c>
      <c r="Q33" s="8">
        <v>2767794</v>
      </c>
      <c r="R33" s="8">
        <v>1096495</v>
      </c>
      <c r="S33" s="8">
        <v>1351244</v>
      </c>
      <c r="T33" s="8">
        <v>988182</v>
      </c>
      <c r="U33" s="8">
        <v>441443</v>
      </c>
      <c r="V33" s="8">
        <v>606480</v>
      </c>
      <c r="W33" s="8">
        <v>257014</v>
      </c>
      <c r="X33" s="8">
        <v>524031</v>
      </c>
      <c r="Y33" s="8">
        <v>866234</v>
      </c>
      <c r="Z33" s="8">
        <v>1092354</v>
      </c>
      <c r="AA33" s="8">
        <v>3256446</v>
      </c>
      <c r="AB33" s="8">
        <v>1439440</v>
      </c>
      <c r="AC33" s="8">
        <f t="shared" si="5"/>
        <v>14687157</v>
      </c>
    </row>
    <row r="34" spans="1:29" ht="12.75">
      <c r="A34" s="4" t="s">
        <v>17</v>
      </c>
      <c r="B34" s="8">
        <v>883182</v>
      </c>
      <c r="C34" s="8">
        <v>1006124</v>
      </c>
      <c r="D34" s="8">
        <v>1448557</v>
      </c>
      <c r="E34" s="8">
        <v>1615539</v>
      </c>
      <c r="F34" s="8">
        <v>2159636</v>
      </c>
      <c r="G34" s="8">
        <v>1984093</v>
      </c>
      <c r="H34" s="8">
        <v>1242720</v>
      </c>
      <c r="I34" s="8">
        <v>2085116</v>
      </c>
      <c r="J34" s="8">
        <v>1770713</v>
      </c>
      <c r="K34" s="8">
        <v>2003620</v>
      </c>
      <c r="L34" s="8">
        <v>2364600</v>
      </c>
      <c r="M34" s="8">
        <v>2966552</v>
      </c>
      <c r="N34" s="8">
        <f t="shared" si="4"/>
        <v>21530452</v>
      </c>
      <c r="P34" s="4" t="s">
        <v>17</v>
      </c>
      <c r="Q34" s="8">
        <v>433651</v>
      </c>
      <c r="R34" s="8">
        <v>519912</v>
      </c>
      <c r="S34" s="8">
        <v>244366</v>
      </c>
      <c r="T34" s="8">
        <v>105417</v>
      </c>
      <c r="U34" s="8">
        <v>70237</v>
      </c>
      <c r="V34" s="8">
        <v>22511</v>
      </c>
      <c r="W34" s="8">
        <v>72819</v>
      </c>
      <c r="X34" s="8">
        <v>86133</v>
      </c>
      <c r="Y34" s="8">
        <v>348044</v>
      </c>
      <c r="Z34" s="8">
        <v>290655</v>
      </c>
      <c r="AA34" s="8">
        <v>381244</v>
      </c>
      <c r="AB34" s="8">
        <v>643267</v>
      </c>
      <c r="AC34" s="8">
        <f t="shared" si="5"/>
        <v>3218256</v>
      </c>
    </row>
    <row r="35" spans="1:29" ht="12.75">
      <c r="A35" s="4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P35" s="4" t="s">
        <v>18</v>
      </c>
      <c r="Q35" s="8"/>
      <c r="R35" s="8"/>
      <c r="S35" s="8">
        <v>202856</v>
      </c>
      <c r="T35" s="8">
        <v>335734</v>
      </c>
      <c r="U35" s="8"/>
      <c r="V35" s="8"/>
      <c r="W35" s="8"/>
      <c r="X35" s="8"/>
      <c r="Y35" s="8"/>
      <c r="Z35" s="8"/>
      <c r="AA35" s="8"/>
      <c r="AB35" s="8"/>
      <c r="AC35" s="8">
        <f t="shared" si="5"/>
        <v>538590</v>
      </c>
    </row>
    <row r="36" spans="1:29" ht="12.75">
      <c r="A36" s="4" t="s">
        <v>19</v>
      </c>
      <c r="B36" s="8"/>
      <c r="C36" s="8"/>
      <c r="D36" s="8"/>
      <c r="E36" s="8">
        <v>61102</v>
      </c>
      <c r="F36" s="8"/>
      <c r="G36" s="8"/>
      <c r="H36" s="8"/>
      <c r="I36" s="8">
        <v>30578</v>
      </c>
      <c r="J36" s="8"/>
      <c r="K36" s="8"/>
      <c r="L36" s="8"/>
      <c r="M36" s="8"/>
      <c r="N36" s="8">
        <f t="shared" si="4"/>
        <v>91680</v>
      </c>
      <c r="P36" s="4" t="s">
        <v>19</v>
      </c>
      <c r="Q36" s="8"/>
      <c r="R36" s="8"/>
      <c r="S36" s="8"/>
      <c r="T36" s="8"/>
      <c r="U36" s="8"/>
      <c r="V36" s="8"/>
      <c r="W36" s="8">
        <v>30042</v>
      </c>
      <c r="X36" s="8">
        <v>243578</v>
      </c>
      <c r="Y36" s="8"/>
      <c r="Z36" s="8">
        <v>27833</v>
      </c>
      <c r="AA36" s="8"/>
      <c r="AB36" s="8">
        <v>312015</v>
      </c>
      <c r="AC36" s="8">
        <f t="shared" si="5"/>
        <v>613468</v>
      </c>
    </row>
    <row r="37" spans="1:29" ht="12.75">
      <c r="A37" s="11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  <c r="P37" s="11" t="s">
        <v>35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9"/>
    </row>
    <row r="38" spans="1:29" ht="12.75">
      <c r="A38" s="1" t="s">
        <v>20</v>
      </c>
      <c r="B38" s="10">
        <f>SUM(B24:B37)</f>
        <v>19257497</v>
      </c>
      <c r="C38" s="10">
        <f aca="true" t="shared" si="6" ref="C38:M38">SUM(C24:C37)</f>
        <v>24778380</v>
      </c>
      <c r="D38" s="10">
        <f t="shared" si="6"/>
        <v>24721925</v>
      </c>
      <c r="E38" s="10">
        <f t="shared" si="6"/>
        <v>25895442</v>
      </c>
      <c r="F38" s="10">
        <f t="shared" si="6"/>
        <v>27363044</v>
      </c>
      <c r="G38" s="10">
        <f t="shared" si="6"/>
        <v>25296079</v>
      </c>
      <c r="H38" s="10">
        <f t="shared" si="6"/>
        <v>25562917</v>
      </c>
      <c r="I38" s="10">
        <f t="shared" si="6"/>
        <v>29686677</v>
      </c>
      <c r="J38" s="10">
        <f t="shared" si="6"/>
        <v>28228461</v>
      </c>
      <c r="K38" s="10">
        <f t="shared" si="6"/>
        <v>29689966</v>
      </c>
      <c r="L38" s="10">
        <f t="shared" si="6"/>
        <v>31220596</v>
      </c>
      <c r="M38" s="10">
        <f t="shared" si="6"/>
        <v>42992069</v>
      </c>
      <c r="N38" s="10">
        <f>SUM(B38:M38)</f>
        <v>334693053</v>
      </c>
      <c r="P38" s="1" t="s">
        <v>20</v>
      </c>
      <c r="Q38" s="10">
        <f>SUM(Q24:Q37)</f>
        <v>9327426</v>
      </c>
      <c r="R38" s="10">
        <f>SUM(R24:R37)</f>
        <v>8947255</v>
      </c>
      <c r="S38" s="10">
        <f aca="true" t="shared" si="7" ref="S38:AB38">SUM(S24:S37)</f>
        <v>8291354</v>
      </c>
      <c r="T38" s="10">
        <f t="shared" si="7"/>
        <v>10477414</v>
      </c>
      <c r="U38" s="10">
        <f t="shared" si="7"/>
        <v>7660929</v>
      </c>
      <c r="V38" s="10">
        <f t="shared" si="7"/>
        <v>7053336</v>
      </c>
      <c r="W38" s="10">
        <f t="shared" si="7"/>
        <v>6036742</v>
      </c>
      <c r="X38" s="10">
        <f t="shared" si="7"/>
        <v>7763421</v>
      </c>
      <c r="Y38" s="10">
        <f t="shared" si="7"/>
        <v>8398741</v>
      </c>
      <c r="Z38" s="10">
        <f t="shared" si="7"/>
        <v>8557099</v>
      </c>
      <c r="AA38" s="10">
        <f t="shared" si="7"/>
        <v>9504944</v>
      </c>
      <c r="AB38" s="10">
        <f t="shared" si="7"/>
        <v>11376008</v>
      </c>
      <c r="AC38" s="10">
        <f t="shared" si="5"/>
        <v>103394669</v>
      </c>
    </row>
    <row r="39" spans="1:16" ht="12.75">
      <c r="A39" s="5" t="s">
        <v>24</v>
      </c>
      <c r="P39" s="5" t="s">
        <v>24</v>
      </c>
    </row>
    <row r="41" spans="1:16" ht="12.75">
      <c r="A41" t="s">
        <v>42</v>
      </c>
      <c r="P41" t="s">
        <v>43</v>
      </c>
    </row>
    <row r="42" spans="1:16" ht="12.75">
      <c r="A42" t="s">
        <v>32</v>
      </c>
      <c r="P42" t="s">
        <v>32</v>
      </c>
    </row>
    <row r="43" spans="1:29" ht="12.75">
      <c r="A43" s="1" t="s">
        <v>21</v>
      </c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7</v>
      </c>
      <c r="J43" s="2" t="s">
        <v>8</v>
      </c>
      <c r="K43" s="2" t="s">
        <v>28</v>
      </c>
      <c r="L43" s="2" t="s">
        <v>29</v>
      </c>
      <c r="M43" s="2" t="s">
        <v>30</v>
      </c>
      <c r="N43" s="6" t="s">
        <v>25</v>
      </c>
      <c r="P43" s="1" t="s">
        <v>21</v>
      </c>
      <c r="Q43" s="2" t="s">
        <v>0</v>
      </c>
      <c r="R43" s="2" t="s">
        <v>1</v>
      </c>
      <c r="S43" s="2" t="s">
        <v>2</v>
      </c>
      <c r="T43" s="2" t="s">
        <v>3</v>
      </c>
      <c r="U43" s="2" t="s">
        <v>4</v>
      </c>
      <c r="V43" s="2" t="s">
        <v>5</v>
      </c>
      <c r="W43" s="2" t="s">
        <v>6</v>
      </c>
      <c r="X43" s="2" t="s">
        <v>7</v>
      </c>
      <c r="Y43" s="2" t="s">
        <v>8</v>
      </c>
      <c r="Z43" s="2" t="s">
        <v>28</v>
      </c>
      <c r="AA43" s="2" t="s">
        <v>29</v>
      </c>
      <c r="AB43" s="2" t="s">
        <v>30</v>
      </c>
      <c r="AC43" s="49" t="s">
        <v>25</v>
      </c>
    </row>
    <row r="44" spans="1:29" ht="12.75">
      <c r="A44" s="3" t="s">
        <v>9</v>
      </c>
      <c r="B44" s="14">
        <f aca="true" t="shared" si="8" ref="B44:I44">B24/B4</f>
        <v>10034.613056379822</v>
      </c>
      <c r="C44" s="14">
        <f t="shared" si="8"/>
        <v>9472.39012455516</v>
      </c>
      <c r="D44" s="14">
        <f t="shared" si="8"/>
        <v>10254.017034068136</v>
      </c>
      <c r="E44" s="14">
        <f t="shared" si="8"/>
        <v>5166.507770762506</v>
      </c>
      <c r="F44" s="14">
        <f t="shared" si="8"/>
        <v>10800.728838582678</v>
      </c>
      <c r="G44" s="14">
        <f t="shared" si="8"/>
        <v>7277.887696709585</v>
      </c>
      <c r="H44" s="14">
        <f t="shared" si="8"/>
        <v>10288.589294173378</v>
      </c>
      <c r="I44" s="14">
        <f t="shared" si="8"/>
        <v>10176.989856297549</v>
      </c>
      <c r="J44" s="14">
        <f>J24/J4</f>
        <v>9601.012981744421</v>
      </c>
      <c r="K44" s="14">
        <f>K24/K4</f>
        <v>9525.88705972435</v>
      </c>
      <c r="L44" s="14">
        <f>L24/L4</f>
        <v>8553.206462585034</v>
      </c>
      <c r="M44" s="14">
        <f>M24/M4</f>
        <v>9388.818234109865</v>
      </c>
      <c r="N44" s="14">
        <f>N24/N4</f>
        <v>8895.106010503792</v>
      </c>
      <c r="P44" s="3" t="s">
        <v>9</v>
      </c>
      <c r="Q44" s="14">
        <f>Q24/Q4</f>
        <v>4162.734622144112</v>
      </c>
      <c r="R44" s="14">
        <f aca="true" t="shared" si="9" ref="R44:AC44">R24/R4</f>
        <v>4211.19595448799</v>
      </c>
      <c r="S44" s="14">
        <f t="shared" si="9"/>
        <v>4856.75115919629</v>
      </c>
      <c r="T44" s="14">
        <f t="shared" si="9"/>
        <v>1291.7163478888488</v>
      </c>
      <c r="U44" s="14">
        <f t="shared" si="9"/>
        <v>5558.166144200627</v>
      </c>
      <c r="V44" s="14">
        <f t="shared" si="9"/>
        <v>5446.106986899564</v>
      </c>
      <c r="W44" s="14">
        <f t="shared" si="9"/>
        <v>5434.907444668008</v>
      </c>
      <c r="X44" s="14">
        <f t="shared" si="9"/>
        <v>5671.117270788913</v>
      </c>
      <c r="Y44" s="14">
        <f t="shared" si="9"/>
        <v>4744.866485013624</v>
      </c>
      <c r="Z44" s="14">
        <f t="shared" si="9"/>
        <v>3819.937081659973</v>
      </c>
      <c r="AA44" s="14">
        <f t="shared" si="9"/>
        <v>4561.124031007752</v>
      </c>
      <c r="AB44" s="14">
        <f t="shared" si="9"/>
        <v>4149.40248447205</v>
      </c>
      <c r="AC44" s="14">
        <f t="shared" si="9"/>
        <v>3729.51233241224</v>
      </c>
    </row>
    <row r="45" spans="1:29" ht="12.75">
      <c r="A45" s="4" t="s">
        <v>27</v>
      </c>
      <c r="B45" s="15"/>
      <c r="C45" s="15">
        <v>4771.433</v>
      </c>
      <c r="D45" s="15"/>
      <c r="E45" s="15">
        <v>3155.172</v>
      </c>
      <c r="F45" s="15"/>
      <c r="G45" s="15">
        <v>11716.122</v>
      </c>
      <c r="H45" s="15"/>
      <c r="I45" s="15"/>
      <c r="J45" s="15"/>
      <c r="K45" s="15"/>
      <c r="L45" s="15">
        <f>L25/L5</f>
        <v>5518.411764705882</v>
      </c>
      <c r="M45" s="15">
        <f>M25/M5</f>
        <v>3016</v>
      </c>
      <c r="N45" s="15">
        <f>N25/N5</f>
        <v>3791.958314544051</v>
      </c>
      <c r="P45" s="4" t="s">
        <v>27</v>
      </c>
      <c r="Q45" s="15"/>
      <c r="R45" s="15"/>
      <c r="S45" s="15"/>
      <c r="T45" s="15">
        <f>T25/T5</f>
        <v>16235</v>
      </c>
      <c r="U45" s="15">
        <f>U25/U5</f>
        <v>6371.3</v>
      </c>
      <c r="V45" s="15">
        <f>V25/V5</f>
        <v>6532</v>
      </c>
      <c r="W45" s="15">
        <f>W25/W5</f>
        <v>4051.5</v>
      </c>
      <c r="X45" s="15"/>
      <c r="Y45" s="15">
        <f>Y25/Y5</f>
        <v>1551</v>
      </c>
      <c r="Z45" s="15"/>
      <c r="AA45" s="15">
        <f>AA25/AA5</f>
        <v>2764.5</v>
      </c>
      <c r="AB45" s="15">
        <f>AB25/AB5</f>
        <v>2354.1666666666665</v>
      </c>
      <c r="AC45" s="15">
        <f>AC25/AC5</f>
        <v>3120.8854166666665</v>
      </c>
    </row>
    <row r="46" spans="1:29" ht="12.75">
      <c r="A46" s="4" t="s">
        <v>10</v>
      </c>
      <c r="B46" s="15"/>
      <c r="C46" s="15"/>
      <c r="D46" s="15"/>
      <c r="E46" s="15"/>
      <c r="F46" s="15"/>
      <c r="G46" s="15">
        <v>3113.129</v>
      </c>
      <c r="H46" s="15"/>
      <c r="I46" s="15"/>
      <c r="J46" s="15"/>
      <c r="K46" s="15"/>
      <c r="L46" s="15"/>
      <c r="M46" s="15"/>
      <c r="N46" s="15">
        <f>N26/N6</f>
        <v>3113.129</v>
      </c>
      <c r="P46" s="4" t="s">
        <v>10</v>
      </c>
      <c r="Q46" s="15"/>
      <c r="R46" s="15"/>
      <c r="S46" s="15">
        <f>S26/S6</f>
        <v>6282.25</v>
      </c>
      <c r="T46" s="15"/>
      <c r="U46" s="15">
        <f>U26/U6</f>
        <v>5211</v>
      </c>
      <c r="V46" s="15">
        <f>V26/V6</f>
        <v>5923.5</v>
      </c>
      <c r="W46" s="15">
        <f>W26/W6</f>
        <v>3712</v>
      </c>
      <c r="X46" s="15"/>
      <c r="Y46" s="15">
        <f>Y26/Y6</f>
        <v>4831</v>
      </c>
      <c r="Z46" s="15"/>
      <c r="AA46" s="15">
        <f>AA26/AA6</f>
        <v>2564.5</v>
      </c>
      <c r="AB46" s="15"/>
      <c r="AC46" s="15">
        <f>AC26/AC6</f>
        <v>4355.608695652174</v>
      </c>
    </row>
    <row r="47" spans="1:29" ht="12.75">
      <c r="A47" s="4" t="s">
        <v>33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P47" s="4" t="s">
        <v>33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2.75">
      <c r="A48" s="4" t="s">
        <v>11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P48" s="4" t="s">
        <v>11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2.75">
      <c r="A49" s="4" t="s">
        <v>12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P49" s="4" t="s">
        <v>12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2.75">
      <c r="A50" s="4" t="s">
        <v>13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P50" s="4" t="s">
        <v>13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2.75">
      <c r="A51" s="4" t="s">
        <v>14</v>
      </c>
      <c r="B51" s="15">
        <f>B31/B11</f>
        <v>4618.828947368421</v>
      </c>
      <c r="C51" s="15">
        <f aca="true" t="shared" si="10" ref="C51:G54">C31/C11</f>
        <v>5489.434027777777</v>
      </c>
      <c r="D51" s="15">
        <f t="shared" si="10"/>
        <v>5440.3836477987425</v>
      </c>
      <c r="E51" s="15">
        <f t="shared" si="10"/>
        <v>4988.994594594595</v>
      </c>
      <c r="F51" s="15">
        <f t="shared" si="10"/>
        <v>5294.766584766585</v>
      </c>
      <c r="G51" s="15">
        <f t="shared" si="10"/>
        <v>6111.752906976744</v>
      </c>
      <c r="H51" s="15">
        <f aca="true" t="shared" si="11" ref="H51:N51">H31/H11</f>
        <v>5503.640350877193</v>
      </c>
      <c r="I51" s="15">
        <f t="shared" si="11"/>
        <v>4155.298217179903</v>
      </c>
      <c r="J51" s="15">
        <f t="shared" si="11"/>
        <v>4469.027649769585</v>
      </c>
      <c r="K51" s="15">
        <f t="shared" si="11"/>
        <v>4448.125301204819</v>
      </c>
      <c r="L51" s="15">
        <f t="shared" si="11"/>
        <v>5391.855421686747</v>
      </c>
      <c r="M51" s="15">
        <f t="shared" si="11"/>
        <v>6437.16061452514</v>
      </c>
      <c r="N51" s="15">
        <f t="shared" si="11"/>
        <v>5229.2700290577</v>
      </c>
      <c r="P51" s="4" t="s">
        <v>14</v>
      </c>
      <c r="Q51" s="15">
        <f aca="true" t="shared" si="12" ref="Q51:AC51">Q31/Q11</f>
        <v>3511.57476635514</v>
      </c>
      <c r="R51" s="15">
        <f t="shared" si="12"/>
        <v>3508.5894736842106</v>
      </c>
      <c r="S51" s="15">
        <f t="shared" si="12"/>
        <v>3355.6417759838546</v>
      </c>
      <c r="T51" s="15">
        <f t="shared" si="12"/>
        <v>3622.923588039867</v>
      </c>
      <c r="U51" s="15">
        <f t="shared" si="12"/>
        <v>3278.4925788497217</v>
      </c>
      <c r="V51" s="15">
        <f t="shared" si="12"/>
        <v>3897.167167167167</v>
      </c>
      <c r="W51" s="15">
        <f t="shared" si="12"/>
        <v>3769.5807692307694</v>
      </c>
      <c r="X51" s="15">
        <f t="shared" si="12"/>
        <v>3676.4057093425604</v>
      </c>
      <c r="Y51" s="15">
        <f t="shared" si="12"/>
        <v>3851.182581322141</v>
      </c>
      <c r="Z51" s="15">
        <f t="shared" si="12"/>
        <v>3281.929663608563</v>
      </c>
      <c r="AA51" s="15">
        <f t="shared" si="12"/>
        <v>3810.020134228188</v>
      </c>
      <c r="AB51" s="15">
        <f t="shared" si="12"/>
        <v>4561.433744855967</v>
      </c>
      <c r="AC51" s="15">
        <f t="shared" si="12"/>
        <v>3670.5061051004636</v>
      </c>
    </row>
    <row r="52" spans="1:29" ht="12.75">
      <c r="A52" s="4" t="s">
        <v>15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P52" s="4" t="s">
        <v>15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2.75">
      <c r="A53" s="4" t="s">
        <v>16</v>
      </c>
      <c r="B53" s="15">
        <f>B33/B13</f>
        <v>5743.834586466165</v>
      </c>
      <c r="C53" s="15">
        <f t="shared" si="10"/>
        <v>5950.82</v>
      </c>
      <c r="D53" s="15">
        <f t="shared" si="10"/>
        <v>5725.04255319149</v>
      </c>
      <c r="E53" s="15">
        <f t="shared" si="10"/>
        <v>6318.169934640523</v>
      </c>
      <c r="F53" s="15">
        <f t="shared" si="10"/>
        <v>5985.635869565217</v>
      </c>
      <c r="G53" s="15">
        <f t="shared" si="10"/>
        <v>6530.9312977099235</v>
      </c>
      <c r="H53" s="15">
        <f aca="true" t="shared" si="13" ref="H53:M54">H33/H13</f>
        <v>6249.913043478261</v>
      </c>
      <c r="I53" s="15">
        <f t="shared" si="13"/>
        <v>6315.687074829932</v>
      </c>
      <c r="J53" s="15">
        <f>J33/J13</f>
        <v>5603.243421052632</v>
      </c>
      <c r="K53" s="15">
        <f t="shared" si="13"/>
        <v>5326.427777777778</v>
      </c>
      <c r="L53" s="15">
        <f t="shared" si="13"/>
        <v>5534.682730923695</v>
      </c>
      <c r="M53" s="15">
        <f t="shared" si="13"/>
        <v>6659.750605326876</v>
      </c>
      <c r="N53" s="15">
        <f>N33/N13</f>
        <v>6033.1020501138955</v>
      </c>
      <c r="P53" s="4" t="s">
        <v>16</v>
      </c>
      <c r="Q53" s="15">
        <f aca="true" t="shared" si="14" ref="Q53:AC53">Q33/Q13</f>
        <v>6850.975247524752</v>
      </c>
      <c r="R53" s="15">
        <f t="shared" si="14"/>
        <v>5147.863849765258</v>
      </c>
      <c r="S53" s="15">
        <f t="shared" si="14"/>
        <v>6527.748792270531</v>
      </c>
      <c r="T53" s="15">
        <f t="shared" si="14"/>
        <v>6137.776397515528</v>
      </c>
      <c r="U53" s="15">
        <f t="shared" si="14"/>
        <v>5659.525641025641</v>
      </c>
      <c r="V53" s="15">
        <f t="shared" si="14"/>
        <v>4813.333333333333</v>
      </c>
      <c r="W53" s="15">
        <f t="shared" si="14"/>
        <v>3894.151515151515</v>
      </c>
      <c r="X53" s="15">
        <f t="shared" si="14"/>
        <v>4556.791304347826</v>
      </c>
      <c r="Y53" s="15">
        <f t="shared" si="14"/>
        <v>4682.345945945946</v>
      </c>
      <c r="Z53" s="15">
        <f t="shared" si="14"/>
        <v>4422.485829959514</v>
      </c>
      <c r="AA53" s="15">
        <f t="shared" si="14"/>
        <v>5454.683417085427</v>
      </c>
      <c r="AB53" s="15">
        <f t="shared" si="14"/>
        <v>5033.006993006993</v>
      </c>
      <c r="AC53" s="15">
        <f t="shared" si="14"/>
        <v>5470.077094972067</v>
      </c>
    </row>
    <row r="54" spans="1:29" ht="12.75">
      <c r="A54" s="4" t="s">
        <v>17</v>
      </c>
      <c r="B54" s="15">
        <f>B34/B14</f>
        <v>6353.827338129497</v>
      </c>
      <c r="C54" s="15">
        <f t="shared" si="10"/>
        <v>7085.380281690141</v>
      </c>
      <c r="D54" s="15">
        <f t="shared" si="10"/>
        <v>7315.944444444444</v>
      </c>
      <c r="E54" s="15">
        <f t="shared" si="10"/>
        <v>7444.880184331797</v>
      </c>
      <c r="F54" s="15">
        <f t="shared" si="10"/>
        <v>7345.700680272109</v>
      </c>
      <c r="G54" s="15">
        <f t="shared" si="10"/>
        <v>7458.996240601504</v>
      </c>
      <c r="H54" s="15">
        <f t="shared" si="13"/>
        <v>6865.85635359116</v>
      </c>
      <c r="I54" s="15">
        <f t="shared" si="13"/>
        <v>6726.18064516129</v>
      </c>
      <c r="J54" s="15">
        <f>J34/J14</f>
        <v>7054.633466135459</v>
      </c>
      <c r="K54" s="15">
        <f t="shared" si="13"/>
        <v>6932.941176470588</v>
      </c>
      <c r="L54" s="15">
        <f t="shared" si="13"/>
        <v>6736.752136752137</v>
      </c>
      <c r="M54" s="15">
        <f t="shared" si="13"/>
        <v>7217.888077858881</v>
      </c>
      <c r="N54" s="15">
        <f>N34/N14</f>
        <v>7061.47982945228</v>
      </c>
      <c r="P54" s="4" t="s">
        <v>17</v>
      </c>
      <c r="Q54" s="15">
        <f aca="true" t="shared" si="15" ref="Q54:AC54">Q34/Q14</f>
        <v>2779.8141025641025</v>
      </c>
      <c r="R54" s="15">
        <f t="shared" si="15"/>
        <v>2499.576923076923</v>
      </c>
      <c r="S54" s="15">
        <f t="shared" si="15"/>
        <v>2841.4651162790697</v>
      </c>
      <c r="T54" s="15">
        <f t="shared" si="15"/>
        <v>3400.548387096774</v>
      </c>
      <c r="U54" s="15">
        <f t="shared" si="15"/>
        <v>2809.48</v>
      </c>
      <c r="V54" s="15">
        <f t="shared" si="15"/>
        <v>2813.875</v>
      </c>
      <c r="W54" s="15">
        <f t="shared" si="15"/>
        <v>4045.5</v>
      </c>
      <c r="X54" s="15">
        <f t="shared" si="15"/>
        <v>4306.65</v>
      </c>
      <c r="Y54" s="15">
        <f t="shared" si="15"/>
        <v>2974.735042735043</v>
      </c>
      <c r="Z54" s="15">
        <f t="shared" si="15"/>
        <v>2965.8673469387754</v>
      </c>
      <c r="AA54" s="15">
        <f t="shared" si="15"/>
        <v>2955.3798449612405</v>
      </c>
      <c r="AB54" s="15">
        <f t="shared" si="15"/>
        <v>4097.24203821656</v>
      </c>
      <c r="AC54" s="15">
        <f t="shared" si="15"/>
        <v>3056.2735042735044</v>
      </c>
    </row>
    <row r="55" spans="1:29" ht="12.75">
      <c r="A55" s="4" t="s">
        <v>18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P55" s="4" t="s">
        <v>18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2.75">
      <c r="A56" s="4" t="s">
        <v>19</v>
      </c>
      <c r="B56" s="15"/>
      <c r="C56" s="15"/>
      <c r="D56" s="15"/>
      <c r="E56" s="15">
        <v>18504.661</v>
      </c>
      <c r="F56" s="15"/>
      <c r="G56" s="15"/>
      <c r="H56" s="15"/>
      <c r="I56" s="15">
        <v>16600.226</v>
      </c>
      <c r="J56" s="15"/>
      <c r="K56" s="15"/>
      <c r="L56" s="15"/>
      <c r="M56" s="15"/>
      <c r="N56" s="15">
        <v>17822.708</v>
      </c>
      <c r="P56" s="4" t="s">
        <v>19</v>
      </c>
      <c r="Q56" s="15"/>
      <c r="R56" s="15"/>
      <c r="S56" s="15"/>
      <c r="T56" s="15"/>
      <c r="U56" s="15"/>
      <c r="V56" s="15"/>
      <c r="W56" s="15">
        <f>W36/W16</f>
        <v>10014</v>
      </c>
      <c r="X56" s="15">
        <f>X36/X16</f>
        <v>10149.083333333334</v>
      </c>
      <c r="Y56" s="15"/>
      <c r="Z56" s="15"/>
      <c r="AA56" s="15"/>
      <c r="AB56" s="15">
        <f>AB36/AB16</f>
        <v>9455</v>
      </c>
      <c r="AC56" s="15"/>
    </row>
    <row r="57" spans="1:29" ht="12.75">
      <c r="A57" s="11" t="s">
        <v>26</v>
      </c>
      <c r="B57" s="16"/>
      <c r="C57" s="16"/>
      <c r="D57" s="16"/>
      <c r="E57" s="16"/>
      <c r="F57" s="16"/>
      <c r="G57" s="16"/>
      <c r="H57" s="16"/>
      <c r="I57" s="18"/>
      <c r="J57" s="18"/>
      <c r="K57" s="18"/>
      <c r="L57" s="18"/>
      <c r="M57" s="18"/>
      <c r="N57" s="18"/>
      <c r="P57" s="11" t="s">
        <v>35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ht="12.75">
      <c r="A58" s="1" t="s">
        <v>20</v>
      </c>
      <c r="B58" s="17">
        <f aca="true" t="shared" si="16" ref="B58:I58">B38/B18</f>
        <v>9131.10336652442</v>
      </c>
      <c r="C58" s="17">
        <f t="shared" si="16"/>
        <v>8758.706256627784</v>
      </c>
      <c r="D58" s="17">
        <f t="shared" si="16"/>
        <v>9156.268518518518</v>
      </c>
      <c r="E58" s="17">
        <f t="shared" si="16"/>
        <v>5282.627906976744</v>
      </c>
      <c r="F58" s="17">
        <f t="shared" si="16"/>
        <v>9380.54302365444</v>
      </c>
      <c r="G58" s="17">
        <f t="shared" si="16"/>
        <v>7148.650274054971</v>
      </c>
      <c r="H58" s="17">
        <f t="shared" si="16"/>
        <v>9298.987631866134</v>
      </c>
      <c r="I58" s="17">
        <f t="shared" si="16"/>
        <v>8624.833527019175</v>
      </c>
      <c r="J58" s="17">
        <f>J38/J18</f>
        <v>8548.897940642035</v>
      </c>
      <c r="K58" s="17">
        <f>K38/K18</f>
        <v>8492.553203661328</v>
      </c>
      <c r="L58" s="17">
        <f>L38/L18</f>
        <v>7860.170191339375</v>
      </c>
      <c r="M58" s="17">
        <f>M38/M18</f>
        <v>8557.338574840764</v>
      </c>
      <c r="N58" s="17">
        <f>N38/N18</f>
        <v>8167.113392023214</v>
      </c>
      <c r="P58" s="1" t="s">
        <v>20</v>
      </c>
      <c r="Q58" s="17">
        <f aca="true" t="shared" si="17" ref="Q58:Z58">Q38/Q18</f>
        <v>4241.667121418826</v>
      </c>
      <c r="R58" s="17">
        <f t="shared" si="17"/>
        <v>3804.105017006803</v>
      </c>
      <c r="S58" s="17">
        <f t="shared" si="17"/>
        <v>4247.61987704918</v>
      </c>
      <c r="T58" s="17">
        <f t="shared" si="17"/>
        <v>2328.8317403867527</v>
      </c>
      <c r="U58" s="17">
        <f t="shared" si="17"/>
        <v>4186.3</v>
      </c>
      <c r="V58" s="17">
        <f t="shared" si="17"/>
        <v>4416.616155291171</v>
      </c>
      <c r="W58" s="17">
        <f t="shared" si="17"/>
        <v>4396.753095411507</v>
      </c>
      <c r="X58" s="17">
        <f t="shared" si="17"/>
        <v>4351.693385650225</v>
      </c>
      <c r="Y58" s="17">
        <f t="shared" si="17"/>
        <v>4193.080878681977</v>
      </c>
      <c r="Z58" s="17">
        <f t="shared" si="17"/>
        <v>3565.4579166666667</v>
      </c>
      <c r="AA58" s="17">
        <f>AA38/AA18</f>
        <v>4425.020484171322</v>
      </c>
      <c r="AB58" s="17">
        <f>AB38/AB18</f>
        <v>4482.272655634358</v>
      </c>
      <c r="AC58" s="17">
        <f>AC38/AC18</f>
        <v>3876.088809746954</v>
      </c>
    </row>
    <row r="59" spans="1:16" ht="12.75">
      <c r="A59" s="5" t="s">
        <v>24</v>
      </c>
      <c r="P59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9"/>
  <sheetViews>
    <sheetView workbookViewId="0" topLeftCell="A1">
      <selection activeCell="AE26" sqref="AE26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6" max="16" width="20.57421875" style="0" bestFit="1" customWidth="1"/>
    <col min="17" max="28" width="10.7109375" style="0" customWidth="1"/>
    <col min="29" max="29" width="16.140625" style="0" customWidth="1"/>
  </cols>
  <sheetData>
    <row r="1" spans="1:16" ht="12.75">
      <c r="A1" t="s">
        <v>44</v>
      </c>
      <c r="P1" t="s">
        <v>45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49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49" t="s">
        <v>25</v>
      </c>
    </row>
    <row r="4" spans="1:29" ht="12.75">
      <c r="A4" s="3" t="s">
        <v>9</v>
      </c>
      <c r="B4" s="7">
        <v>6502</v>
      </c>
      <c r="C4" s="7">
        <v>6603</v>
      </c>
      <c r="D4" s="7">
        <v>7125</v>
      </c>
      <c r="E4" s="7">
        <v>6591</v>
      </c>
      <c r="F4" s="7">
        <v>7092</v>
      </c>
      <c r="G4" s="7">
        <v>7588</v>
      </c>
      <c r="H4" s="7">
        <v>6406</v>
      </c>
      <c r="I4" s="7">
        <v>7114</v>
      </c>
      <c r="J4" s="7">
        <v>8760</v>
      </c>
      <c r="K4" s="7">
        <v>8086</v>
      </c>
      <c r="L4" s="7">
        <v>7499</v>
      </c>
      <c r="M4" s="67">
        <v>7969</v>
      </c>
      <c r="N4" s="7">
        <f>SUM(B4:M4)</f>
        <v>87335</v>
      </c>
      <c r="P4" s="3" t="s">
        <v>9</v>
      </c>
      <c r="Q4" s="7">
        <f>17+586+257+939+349+56+703+83+24</f>
        <v>3014</v>
      </c>
      <c r="R4" s="7">
        <v>3633</v>
      </c>
      <c r="S4" s="7">
        <v>3703</v>
      </c>
      <c r="T4" s="7">
        <v>2993</v>
      </c>
      <c r="U4" s="7">
        <v>3058</v>
      </c>
      <c r="V4" s="7">
        <v>3703</v>
      </c>
      <c r="W4" s="7">
        <v>2053</v>
      </c>
      <c r="X4" s="7">
        <v>3370</v>
      </c>
      <c r="Y4" s="7">
        <v>4962</v>
      </c>
      <c r="Z4" s="7">
        <v>4007</v>
      </c>
      <c r="AA4" s="7">
        <v>4272</v>
      </c>
      <c r="AB4" s="67">
        <v>3133</v>
      </c>
      <c r="AC4" s="7">
        <f>SUM(Q4:AB4)</f>
        <v>41901</v>
      </c>
    </row>
    <row r="5" spans="1:29" ht="12.75">
      <c r="A5" s="4" t="s">
        <v>27</v>
      </c>
      <c r="B5" s="8">
        <v>1</v>
      </c>
      <c r="C5" s="8">
        <v>1</v>
      </c>
      <c r="D5" s="8">
        <f>1+49</f>
        <v>50</v>
      </c>
      <c r="E5" s="8">
        <v>71</v>
      </c>
      <c r="F5" s="8">
        <v>76</v>
      </c>
      <c r="G5" s="8">
        <v>104</v>
      </c>
      <c r="H5" s="8">
        <f>26+1+1</f>
        <v>28</v>
      </c>
      <c r="I5" s="8">
        <v>54</v>
      </c>
      <c r="J5" s="8">
        <v>85</v>
      </c>
      <c r="K5" s="8">
        <v>97</v>
      </c>
      <c r="L5" s="8">
        <v>123</v>
      </c>
      <c r="M5" s="47">
        <v>234</v>
      </c>
      <c r="N5" s="8">
        <f aca="true" t="shared" si="0" ref="N5:N18">SUM(B5:M5)</f>
        <v>924</v>
      </c>
      <c r="P5" s="4" t="s">
        <v>27</v>
      </c>
      <c r="Q5" s="8">
        <v>4</v>
      </c>
      <c r="R5" s="8">
        <v>5</v>
      </c>
      <c r="S5" s="8">
        <v>12</v>
      </c>
      <c r="T5" s="8">
        <v>23</v>
      </c>
      <c r="U5" s="8">
        <v>29</v>
      </c>
      <c r="V5" s="8">
        <v>35</v>
      </c>
      <c r="W5" s="8"/>
      <c r="X5" s="8">
        <v>36</v>
      </c>
      <c r="Y5" s="8">
        <v>6</v>
      </c>
      <c r="Z5" s="8">
        <v>4</v>
      </c>
      <c r="AA5" s="8"/>
      <c r="AB5" s="47"/>
      <c r="AC5" s="8">
        <f aca="true" t="shared" si="1" ref="AC5:AC18">SUM(Q5:AB5)</f>
        <v>154</v>
      </c>
    </row>
    <row r="6" spans="1:29" ht="12.75">
      <c r="A6" s="4" t="s">
        <v>10</v>
      </c>
      <c r="B6" s="8"/>
      <c r="C6" s="20">
        <f>C26/C46</f>
        <v>0.10003549646648811</v>
      </c>
      <c r="D6" s="8"/>
      <c r="E6" s="8"/>
      <c r="F6" s="8"/>
      <c r="G6" s="8"/>
      <c r="H6" s="8"/>
      <c r="I6" s="8"/>
      <c r="J6" s="8"/>
      <c r="K6" s="8"/>
      <c r="L6" s="8"/>
      <c r="M6" s="47"/>
      <c r="N6" s="8"/>
      <c r="P6" s="4" t="s">
        <v>10</v>
      </c>
      <c r="Q6" s="8"/>
      <c r="R6" s="8"/>
      <c r="S6" s="8">
        <v>1</v>
      </c>
      <c r="T6" s="8">
        <v>1</v>
      </c>
      <c r="U6" s="8"/>
      <c r="V6" s="8">
        <v>1</v>
      </c>
      <c r="W6" s="8"/>
      <c r="X6" s="8">
        <v>1</v>
      </c>
      <c r="Y6" s="8"/>
      <c r="Z6" s="8">
        <v>1</v>
      </c>
      <c r="AA6" s="8">
        <v>1</v>
      </c>
      <c r="AB6" s="47">
        <v>13</v>
      </c>
      <c r="AC6" s="8">
        <f t="shared" si="1"/>
        <v>19</v>
      </c>
    </row>
    <row r="7" spans="1:29" ht="12.75">
      <c r="A7" s="4" t="s">
        <v>33</v>
      </c>
      <c r="B7" s="8">
        <f>15+14</f>
        <v>29</v>
      </c>
      <c r="C7" s="8">
        <f>36+14</f>
        <v>50</v>
      </c>
      <c r="D7" s="8">
        <v>23</v>
      </c>
      <c r="E7" s="8">
        <v>69</v>
      </c>
      <c r="F7" s="8">
        <f>49+23</f>
        <v>72</v>
      </c>
      <c r="G7" s="8">
        <v>91</v>
      </c>
      <c r="H7" s="8">
        <f>49+67+18</f>
        <v>134</v>
      </c>
      <c r="I7" s="8">
        <f>67</f>
        <v>67</v>
      </c>
      <c r="J7" s="8">
        <v>115</v>
      </c>
      <c r="K7" s="8">
        <v>92</v>
      </c>
      <c r="L7" s="8">
        <v>122</v>
      </c>
      <c r="M7" s="47">
        <v>89</v>
      </c>
      <c r="N7" s="8">
        <f t="shared" si="0"/>
        <v>953</v>
      </c>
      <c r="P7" s="4" t="s">
        <v>33</v>
      </c>
      <c r="Q7" s="8">
        <v>18</v>
      </c>
      <c r="R7" s="8"/>
      <c r="S7" s="8">
        <f>18+50</f>
        <v>68</v>
      </c>
      <c r="T7" s="8"/>
      <c r="U7" s="8">
        <f>21+126</f>
        <v>147</v>
      </c>
      <c r="V7" s="8"/>
      <c r="W7" s="8"/>
      <c r="X7" s="8"/>
      <c r="Y7" s="8">
        <v>24</v>
      </c>
      <c r="Z7" s="8"/>
      <c r="AA7" s="8">
        <v>1</v>
      </c>
      <c r="AB7" s="47">
        <v>25</v>
      </c>
      <c r="AC7" s="8">
        <f t="shared" si="1"/>
        <v>283</v>
      </c>
    </row>
    <row r="8" spans="1:29" ht="12.75">
      <c r="A8" s="4" t="s">
        <v>11</v>
      </c>
      <c r="B8" s="8"/>
      <c r="C8" s="8"/>
      <c r="D8" s="8">
        <v>1</v>
      </c>
      <c r="E8" s="8"/>
      <c r="F8" s="8">
        <v>1</v>
      </c>
      <c r="G8" s="8"/>
      <c r="H8" s="8"/>
      <c r="I8" s="8"/>
      <c r="J8" s="8">
        <v>7</v>
      </c>
      <c r="K8" s="8"/>
      <c r="L8" s="8">
        <v>7</v>
      </c>
      <c r="M8" s="47">
        <v>7</v>
      </c>
      <c r="N8" s="8">
        <f t="shared" si="0"/>
        <v>23</v>
      </c>
      <c r="P8" s="4" t="s">
        <v>11</v>
      </c>
      <c r="Q8" s="8"/>
      <c r="R8" s="8"/>
      <c r="S8" s="8"/>
      <c r="T8" s="8"/>
      <c r="U8" s="8"/>
      <c r="V8" s="8"/>
      <c r="W8" s="8"/>
      <c r="X8" s="8"/>
      <c r="Y8" s="8">
        <v>40</v>
      </c>
      <c r="Z8" s="8"/>
      <c r="AA8" s="8"/>
      <c r="AB8" s="47">
        <v>4</v>
      </c>
      <c r="AC8" s="8">
        <f t="shared" si="1"/>
        <v>44</v>
      </c>
    </row>
    <row r="9" spans="1:29" ht="12.75">
      <c r="A9" s="4" t="s">
        <v>12</v>
      </c>
      <c r="B9" s="8">
        <v>43</v>
      </c>
      <c r="C9" s="8">
        <v>50</v>
      </c>
      <c r="D9" s="8">
        <v>59</v>
      </c>
      <c r="E9" s="8">
        <v>55</v>
      </c>
      <c r="F9" s="8">
        <v>30</v>
      </c>
      <c r="G9" s="8">
        <v>31</v>
      </c>
      <c r="H9" s="8">
        <v>20</v>
      </c>
      <c r="I9" s="8">
        <v>56</v>
      </c>
      <c r="J9" s="8">
        <v>29</v>
      </c>
      <c r="K9" s="8">
        <v>35</v>
      </c>
      <c r="L9" s="8">
        <v>62</v>
      </c>
      <c r="M9" s="47">
        <v>72</v>
      </c>
      <c r="N9" s="8">
        <f t="shared" si="0"/>
        <v>542</v>
      </c>
      <c r="P9" s="4" t="s">
        <v>12</v>
      </c>
      <c r="Q9" s="8">
        <v>3</v>
      </c>
      <c r="R9" s="8">
        <v>28</v>
      </c>
      <c r="S9" s="8">
        <v>24</v>
      </c>
      <c r="T9" s="8">
        <v>48</v>
      </c>
      <c r="U9" s="8">
        <v>42</v>
      </c>
      <c r="V9" s="8">
        <v>19</v>
      </c>
      <c r="W9" s="8"/>
      <c r="X9" s="8">
        <v>18</v>
      </c>
      <c r="Y9" s="8">
        <v>25</v>
      </c>
      <c r="Z9" s="8">
        <v>17</v>
      </c>
      <c r="AA9" s="8">
        <v>24</v>
      </c>
      <c r="AB9" s="47">
        <v>9</v>
      </c>
      <c r="AC9" s="8">
        <f t="shared" si="1"/>
        <v>257</v>
      </c>
    </row>
    <row r="10" spans="1:29" ht="12.75">
      <c r="A10" s="4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7"/>
      <c r="N10" s="8"/>
      <c r="P10" s="4" t="s">
        <v>13</v>
      </c>
      <c r="Q10" s="8"/>
      <c r="R10" s="8"/>
      <c r="S10" s="8"/>
      <c r="T10" s="8"/>
      <c r="U10" s="8"/>
      <c r="V10" s="8"/>
      <c r="W10" s="8"/>
      <c r="X10" s="8">
        <v>1</v>
      </c>
      <c r="Y10" s="8"/>
      <c r="Z10" s="8"/>
      <c r="AA10" s="8"/>
      <c r="AB10" s="47"/>
      <c r="AC10" s="8">
        <f t="shared" si="1"/>
        <v>1</v>
      </c>
    </row>
    <row r="11" spans="1:29" ht="12.75">
      <c r="A11" s="4" t="s">
        <v>14</v>
      </c>
      <c r="B11" s="8">
        <v>183</v>
      </c>
      <c r="C11" s="8">
        <v>138</v>
      </c>
      <c r="D11" s="8">
        <v>211</v>
      </c>
      <c r="E11" s="8">
        <v>396</v>
      </c>
      <c r="F11" s="8">
        <v>490</v>
      </c>
      <c r="G11" s="8">
        <v>263</v>
      </c>
      <c r="H11" s="8">
        <v>215</v>
      </c>
      <c r="I11" s="8">
        <v>157</v>
      </c>
      <c r="J11" s="8">
        <v>79</v>
      </c>
      <c r="K11" s="8">
        <v>68</v>
      </c>
      <c r="L11" s="8">
        <v>61</v>
      </c>
      <c r="M11" s="47">
        <v>30</v>
      </c>
      <c r="N11" s="8">
        <f t="shared" si="0"/>
        <v>2291</v>
      </c>
      <c r="P11" s="4" t="s">
        <v>14</v>
      </c>
      <c r="Q11" s="8">
        <v>60</v>
      </c>
      <c r="R11" s="8">
        <v>57</v>
      </c>
      <c r="S11" s="8">
        <v>63</v>
      </c>
      <c r="T11" s="8">
        <v>144</v>
      </c>
      <c r="U11" s="8">
        <v>22</v>
      </c>
      <c r="V11" s="8">
        <v>42</v>
      </c>
      <c r="W11" s="8">
        <v>12</v>
      </c>
      <c r="X11" s="8">
        <v>49</v>
      </c>
      <c r="Y11" s="8">
        <v>95</v>
      </c>
      <c r="Z11" s="8">
        <v>23</v>
      </c>
      <c r="AA11" s="8">
        <v>75</v>
      </c>
      <c r="AB11" s="47">
        <v>9</v>
      </c>
      <c r="AC11" s="8">
        <f t="shared" si="1"/>
        <v>651</v>
      </c>
    </row>
    <row r="12" spans="1:29" ht="12.75">
      <c r="A12" s="4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7"/>
      <c r="N12" s="8"/>
      <c r="P12" s="4" t="s">
        <v>15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47"/>
      <c r="AC12" s="8"/>
    </row>
    <row r="13" spans="1:29" ht="12.75">
      <c r="A13" s="4" t="s">
        <v>16</v>
      </c>
      <c r="B13" s="8"/>
      <c r="C13" s="8">
        <v>12</v>
      </c>
      <c r="D13" s="8">
        <v>46</v>
      </c>
      <c r="E13" s="8">
        <v>47</v>
      </c>
      <c r="F13" s="8">
        <v>48</v>
      </c>
      <c r="G13" s="8">
        <v>48</v>
      </c>
      <c r="H13" s="8">
        <v>25</v>
      </c>
      <c r="I13" s="8">
        <v>23</v>
      </c>
      <c r="J13" s="8">
        <v>11</v>
      </c>
      <c r="K13" s="8">
        <v>35</v>
      </c>
      <c r="L13" s="8">
        <v>24</v>
      </c>
      <c r="M13" s="47">
        <v>12</v>
      </c>
      <c r="N13" s="8">
        <f t="shared" si="0"/>
        <v>331</v>
      </c>
      <c r="P13" s="4" t="s">
        <v>16</v>
      </c>
      <c r="Q13" s="8"/>
      <c r="R13" s="19"/>
      <c r="S13" s="8">
        <v>61</v>
      </c>
      <c r="T13" s="8">
        <v>83</v>
      </c>
      <c r="U13" s="8">
        <v>25</v>
      </c>
      <c r="V13" s="8">
        <v>17</v>
      </c>
      <c r="W13" s="8">
        <v>87</v>
      </c>
      <c r="X13" s="8">
        <v>40</v>
      </c>
      <c r="Y13" s="8">
        <v>23</v>
      </c>
      <c r="Z13" s="8">
        <v>28</v>
      </c>
      <c r="AA13" s="8">
        <v>22</v>
      </c>
      <c r="AB13" s="47">
        <v>75</v>
      </c>
      <c r="AC13" s="8">
        <f t="shared" si="1"/>
        <v>461</v>
      </c>
    </row>
    <row r="14" spans="1:29" ht="12.75">
      <c r="A14" s="4" t="s">
        <v>17</v>
      </c>
      <c r="B14" s="8">
        <v>19</v>
      </c>
      <c r="C14" s="8">
        <v>22</v>
      </c>
      <c r="D14" s="8">
        <v>18</v>
      </c>
      <c r="E14" s="8">
        <v>27</v>
      </c>
      <c r="F14" s="8">
        <v>29</v>
      </c>
      <c r="G14" s="8">
        <v>57</v>
      </c>
      <c r="H14" s="8">
        <v>47</v>
      </c>
      <c r="I14" s="8">
        <v>11</v>
      </c>
      <c r="J14" s="8">
        <v>18</v>
      </c>
      <c r="K14" s="8">
        <v>39</v>
      </c>
      <c r="L14" s="8">
        <v>13</v>
      </c>
      <c r="M14" s="47">
        <v>21</v>
      </c>
      <c r="N14" s="8">
        <f t="shared" si="0"/>
        <v>321</v>
      </c>
      <c r="P14" s="4" t="s">
        <v>17</v>
      </c>
      <c r="Q14" s="8">
        <v>210</v>
      </c>
      <c r="R14" s="8">
        <v>95</v>
      </c>
      <c r="S14" s="8">
        <v>350</v>
      </c>
      <c r="T14" s="8">
        <v>210</v>
      </c>
      <c r="U14" s="8">
        <v>66</v>
      </c>
      <c r="V14" s="8">
        <v>76</v>
      </c>
      <c r="W14" s="8">
        <v>114</v>
      </c>
      <c r="X14" s="8">
        <v>103</v>
      </c>
      <c r="Y14" s="8">
        <v>106</v>
      </c>
      <c r="Z14" s="8">
        <v>138</v>
      </c>
      <c r="AA14" s="8">
        <v>195</v>
      </c>
      <c r="AB14" s="47">
        <v>93</v>
      </c>
      <c r="AC14" s="8">
        <f t="shared" si="1"/>
        <v>1756</v>
      </c>
    </row>
    <row r="15" spans="1:29" ht="12.75">
      <c r="A15" s="4" t="s">
        <v>18</v>
      </c>
      <c r="B15" s="8"/>
      <c r="C15" s="8"/>
      <c r="D15" s="8"/>
      <c r="E15" s="8">
        <v>1</v>
      </c>
      <c r="F15" s="8">
        <v>1</v>
      </c>
      <c r="G15" s="8"/>
      <c r="H15" s="8">
        <v>1</v>
      </c>
      <c r="I15" s="8"/>
      <c r="J15" s="8"/>
      <c r="K15" s="8"/>
      <c r="L15" s="8"/>
      <c r="M15" s="47">
        <v>1</v>
      </c>
      <c r="N15" s="8">
        <f t="shared" si="0"/>
        <v>4</v>
      </c>
      <c r="P15" s="4" t="s">
        <v>18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47"/>
      <c r="AC15" s="8"/>
    </row>
    <row r="16" spans="1:29" ht="12.75">
      <c r="A16" s="4" t="s">
        <v>19</v>
      </c>
      <c r="B16" s="8">
        <v>52</v>
      </c>
      <c r="C16" s="8"/>
      <c r="D16" s="8">
        <v>44</v>
      </c>
      <c r="E16" s="8"/>
      <c r="F16" s="8">
        <v>8</v>
      </c>
      <c r="G16" s="8"/>
      <c r="H16" s="8"/>
      <c r="I16" s="8"/>
      <c r="J16" s="8"/>
      <c r="K16" s="8">
        <v>72</v>
      </c>
      <c r="L16" s="8">
        <v>27</v>
      </c>
      <c r="M16" s="47"/>
      <c r="N16" s="8">
        <f t="shared" si="0"/>
        <v>203</v>
      </c>
      <c r="P16" s="4" t="s">
        <v>19</v>
      </c>
      <c r="Q16" s="8">
        <v>14</v>
      </c>
      <c r="R16" s="8"/>
      <c r="S16" s="8"/>
      <c r="T16" s="8">
        <v>15</v>
      </c>
      <c r="U16" s="8"/>
      <c r="V16" s="8"/>
      <c r="W16" s="8"/>
      <c r="X16" s="8"/>
      <c r="Y16" s="8"/>
      <c r="Z16" s="8"/>
      <c r="AA16" s="8"/>
      <c r="AB16" s="47">
        <v>13</v>
      </c>
      <c r="AC16" s="8">
        <f t="shared" si="1"/>
        <v>42</v>
      </c>
    </row>
    <row r="17" spans="1:29" ht="12.75">
      <c r="A17" s="11" t="s">
        <v>46</v>
      </c>
      <c r="B17" s="12"/>
      <c r="C17" s="12">
        <f>11+28</f>
        <v>39</v>
      </c>
      <c r="D17" s="12">
        <v>96</v>
      </c>
      <c r="E17" s="12">
        <f>6+75</f>
        <v>81</v>
      </c>
      <c r="F17" s="12">
        <v>15</v>
      </c>
      <c r="G17" s="12"/>
      <c r="H17" s="12">
        <v>29</v>
      </c>
      <c r="I17" s="12">
        <v>4</v>
      </c>
      <c r="J17" s="12">
        <v>2</v>
      </c>
      <c r="K17" s="12"/>
      <c r="L17" s="12"/>
      <c r="M17" s="12"/>
      <c r="N17" s="9">
        <f t="shared" si="0"/>
        <v>266</v>
      </c>
      <c r="O17" s="68"/>
      <c r="P17" s="11" t="s">
        <v>35</v>
      </c>
      <c r="Q17" s="12"/>
      <c r="R17" s="12"/>
      <c r="S17" s="12"/>
      <c r="T17" s="12"/>
      <c r="U17" s="12"/>
      <c r="V17" s="12"/>
      <c r="W17" s="12">
        <v>5</v>
      </c>
      <c r="X17" s="12"/>
      <c r="Y17" s="12"/>
      <c r="Z17" s="12"/>
      <c r="AA17" s="12"/>
      <c r="AB17" s="12"/>
      <c r="AC17" s="9">
        <f t="shared" si="1"/>
        <v>5</v>
      </c>
    </row>
    <row r="18" spans="1:29" ht="12.75">
      <c r="A18" s="1" t="s">
        <v>20</v>
      </c>
      <c r="B18" s="10">
        <f>SUM(B4:B17)</f>
        <v>6829</v>
      </c>
      <c r="C18" s="10">
        <f aca="true" t="shared" si="2" ref="C18:M18">SUM(C4:C17)</f>
        <v>6915.100035496466</v>
      </c>
      <c r="D18" s="10">
        <f t="shared" si="2"/>
        <v>7673</v>
      </c>
      <c r="E18" s="10">
        <f t="shared" si="2"/>
        <v>7338</v>
      </c>
      <c r="F18" s="10">
        <f t="shared" si="2"/>
        <v>7862</v>
      </c>
      <c r="G18" s="10">
        <f t="shared" si="2"/>
        <v>8182</v>
      </c>
      <c r="H18" s="10">
        <f t="shared" si="2"/>
        <v>6905</v>
      </c>
      <c r="I18" s="10">
        <f t="shared" si="2"/>
        <v>7486</v>
      </c>
      <c r="J18" s="10">
        <f t="shared" si="2"/>
        <v>9106</v>
      </c>
      <c r="K18" s="10">
        <f t="shared" si="2"/>
        <v>8524</v>
      </c>
      <c r="L18" s="10">
        <f t="shared" si="2"/>
        <v>7938</v>
      </c>
      <c r="M18" s="10">
        <f t="shared" si="2"/>
        <v>8435</v>
      </c>
      <c r="N18" s="10">
        <f t="shared" si="0"/>
        <v>93193.10003549646</v>
      </c>
      <c r="P18" s="1" t="s">
        <v>20</v>
      </c>
      <c r="Q18" s="10">
        <f>SUM(Q4:Q17)</f>
        <v>3323</v>
      </c>
      <c r="R18" s="10">
        <f aca="true" t="shared" si="3" ref="R18:AB18">SUM(R4:R17)</f>
        <v>3818</v>
      </c>
      <c r="S18" s="10">
        <f t="shared" si="3"/>
        <v>4282</v>
      </c>
      <c r="T18" s="10">
        <f t="shared" si="3"/>
        <v>3517</v>
      </c>
      <c r="U18" s="10">
        <f t="shared" si="3"/>
        <v>3389</v>
      </c>
      <c r="V18" s="10">
        <f t="shared" si="3"/>
        <v>3893</v>
      </c>
      <c r="W18" s="10">
        <f t="shared" si="3"/>
        <v>2271</v>
      </c>
      <c r="X18" s="10">
        <f t="shared" si="3"/>
        <v>3618</v>
      </c>
      <c r="Y18" s="10">
        <f t="shared" si="3"/>
        <v>5281</v>
      </c>
      <c r="Z18" s="10">
        <f t="shared" si="3"/>
        <v>4218</v>
      </c>
      <c r="AA18" s="10">
        <f t="shared" si="3"/>
        <v>4590</v>
      </c>
      <c r="AB18" s="10">
        <f t="shared" si="3"/>
        <v>3374</v>
      </c>
      <c r="AC18" s="10">
        <f t="shared" si="1"/>
        <v>45574</v>
      </c>
    </row>
    <row r="19" spans="1:16" ht="12.75">
      <c r="A19" s="5" t="s">
        <v>24</v>
      </c>
      <c r="P19" s="5" t="s">
        <v>24</v>
      </c>
    </row>
    <row r="21" spans="1:16" ht="12.75">
      <c r="A21" t="s">
        <v>44</v>
      </c>
      <c r="P21" t="s">
        <v>45</v>
      </c>
    </row>
    <row r="22" spans="1:16" ht="12.75">
      <c r="A22" t="s">
        <v>31</v>
      </c>
      <c r="P22" t="s">
        <v>31</v>
      </c>
    </row>
    <row r="23" spans="1:29" ht="12.75">
      <c r="A23" s="1" t="s">
        <v>21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28</v>
      </c>
      <c r="L23" s="2" t="s">
        <v>29</v>
      </c>
      <c r="M23" s="2" t="s">
        <v>30</v>
      </c>
      <c r="N23" s="49" t="s">
        <v>25</v>
      </c>
      <c r="P23" s="1" t="s">
        <v>21</v>
      </c>
      <c r="Q23" s="2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2" t="s">
        <v>6</v>
      </c>
      <c r="X23" s="2" t="s">
        <v>7</v>
      </c>
      <c r="Y23" s="2" t="s">
        <v>8</v>
      </c>
      <c r="Z23" s="2" t="s">
        <v>28</v>
      </c>
      <c r="AA23" s="2" t="s">
        <v>29</v>
      </c>
      <c r="AB23" s="2" t="s">
        <v>30</v>
      </c>
      <c r="AC23" s="6" t="s">
        <v>25</v>
      </c>
    </row>
    <row r="24" spans="1:29" ht="12.75">
      <c r="A24" s="3" t="s">
        <v>9</v>
      </c>
      <c r="B24" s="7">
        <v>36475299</v>
      </c>
      <c r="C24" s="7">
        <v>38191031</v>
      </c>
      <c r="D24" s="7">
        <v>45131889</v>
      </c>
      <c r="E24" s="7">
        <v>40315234</v>
      </c>
      <c r="F24" s="7">
        <v>43606361</v>
      </c>
      <c r="G24" s="7">
        <v>45716197</v>
      </c>
      <c r="H24" s="7">
        <v>37462545</v>
      </c>
      <c r="I24" s="7">
        <v>41114458</v>
      </c>
      <c r="J24" s="7">
        <v>45397876</v>
      </c>
      <c r="K24" s="7">
        <v>41124738</v>
      </c>
      <c r="L24" s="7">
        <v>41086353</v>
      </c>
      <c r="M24" s="67">
        <v>45392898</v>
      </c>
      <c r="N24" s="7">
        <f>SUM(B24:M24)</f>
        <v>501014879</v>
      </c>
      <c r="P24" s="3" t="s">
        <v>9</v>
      </c>
      <c r="Q24" s="7">
        <v>8666452</v>
      </c>
      <c r="R24" s="7">
        <v>10538553</v>
      </c>
      <c r="S24" s="7">
        <v>11586846</v>
      </c>
      <c r="T24" s="7">
        <v>9046501</v>
      </c>
      <c r="U24" s="7">
        <v>9577945</v>
      </c>
      <c r="V24" s="7">
        <v>10756395</v>
      </c>
      <c r="W24" s="7">
        <v>6316577</v>
      </c>
      <c r="X24" s="7">
        <v>10368379</v>
      </c>
      <c r="Y24" s="7">
        <v>12719539</v>
      </c>
      <c r="Z24" s="7">
        <v>10579912</v>
      </c>
      <c r="AA24" s="7">
        <v>10968457</v>
      </c>
      <c r="AB24" s="7">
        <v>9204756</v>
      </c>
      <c r="AC24" s="7">
        <f>SUM(Q24:AB24)</f>
        <v>120330312</v>
      </c>
    </row>
    <row r="25" spans="1:29" ht="12.75">
      <c r="A25" s="4" t="s">
        <v>27</v>
      </c>
      <c r="B25" s="8">
        <v>5237</v>
      </c>
      <c r="C25" s="8">
        <v>6508</v>
      </c>
      <c r="D25" s="8">
        <f>3964+278771</f>
        <v>282735</v>
      </c>
      <c r="E25" s="8">
        <v>319623</v>
      </c>
      <c r="F25" s="8">
        <f>442801+1269</f>
        <v>444070</v>
      </c>
      <c r="G25" s="8">
        <v>555632</v>
      </c>
      <c r="H25" s="8">
        <f>155266+2407+4814</f>
        <v>162487</v>
      </c>
      <c r="I25" s="8">
        <f>303723+2459+3689</f>
        <v>309871</v>
      </c>
      <c r="J25" s="8">
        <v>438520</v>
      </c>
      <c r="K25" s="8">
        <v>453202</v>
      </c>
      <c r="L25" s="8">
        <v>546655</v>
      </c>
      <c r="M25" s="47">
        <v>1081518</v>
      </c>
      <c r="N25" s="8">
        <f aca="true" t="shared" si="4" ref="N25:N38">SUM(B25:M25)</f>
        <v>4606058</v>
      </c>
      <c r="P25" s="4" t="s">
        <v>27</v>
      </c>
      <c r="Q25" s="8">
        <v>14403</v>
      </c>
      <c r="R25" s="8">
        <v>26031</v>
      </c>
      <c r="S25" s="8">
        <v>101732</v>
      </c>
      <c r="T25" s="8">
        <v>40115</v>
      </c>
      <c r="U25" s="8">
        <v>53288</v>
      </c>
      <c r="V25" s="8">
        <v>91187</v>
      </c>
      <c r="W25" s="8"/>
      <c r="X25" s="8">
        <v>81157</v>
      </c>
      <c r="Y25" s="8">
        <v>13474</v>
      </c>
      <c r="Z25" s="8">
        <v>8415</v>
      </c>
      <c r="AA25" s="8"/>
      <c r="AB25" s="8"/>
      <c r="AC25" s="8">
        <f aca="true" t="shared" si="5" ref="AC25:AC38">SUM(Q25:AB25)</f>
        <v>429802</v>
      </c>
    </row>
    <row r="26" spans="1:29" ht="12.75">
      <c r="A26" s="4" t="s">
        <v>10</v>
      </c>
      <c r="B26" s="8"/>
      <c r="C26" s="8">
        <v>1302</v>
      </c>
      <c r="D26" s="8"/>
      <c r="E26" s="8"/>
      <c r="F26" s="8"/>
      <c r="G26" s="8"/>
      <c r="H26" s="8"/>
      <c r="I26" s="8"/>
      <c r="J26" s="8"/>
      <c r="K26" s="8"/>
      <c r="L26" s="8"/>
      <c r="M26" s="47"/>
      <c r="N26" s="8">
        <f t="shared" si="4"/>
        <v>1302</v>
      </c>
      <c r="P26" s="4" t="s">
        <v>10</v>
      </c>
      <c r="Q26" s="8"/>
      <c r="R26" s="8"/>
      <c r="S26" s="8">
        <v>7927</v>
      </c>
      <c r="T26" s="8">
        <v>3882</v>
      </c>
      <c r="U26" s="8"/>
      <c r="V26" s="8">
        <v>7295</v>
      </c>
      <c r="W26" s="8"/>
      <c r="X26" s="8">
        <v>3689</v>
      </c>
      <c r="Y26" s="8"/>
      <c r="Z26" s="8">
        <v>7213</v>
      </c>
      <c r="AA26" s="8">
        <v>3534</v>
      </c>
      <c r="AB26" s="8">
        <v>22531</v>
      </c>
      <c r="AC26" s="8">
        <f t="shared" si="5"/>
        <v>56071</v>
      </c>
    </row>
    <row r="27" spans="1:29" ht="12.75">
      <c r="A27" s="4" t="s">
        <v>33</v>
      </c>
      <c r="B27" s="8">
        <f>108674+90344</f>
        <v>199018</v>
      </c>
      <c r="C27" s="8">
        <f>261609+89806</f>
        <v>351415</v>
      </c>
      <c r="D27" s="8">
        <v>169112</v>
      </c>
      <c r="E27" s="8">
        <v>522785</v>
      </c>
      <c r="F27" s="8">
        <f>341299+140833</f>
        <v>482132</v>
      </c>
      <c r="G27" s="8">
        <v>582380</v>
      </c>
      <c r="H27" s="8">
        <f>287664+379139+54163</f>
        <v>720966</v>
      </c>
      <c r="I27" s="8">
        <v>422998</v>
      </c>
      <c r="J27" s="8">
        <v>695753</v>
      </c>
      <c r="K27" s="8">
        <v>581829</v>
      </c>
      <c r="L27" s="8">
        <v>751652</v>
      </c>
      <c r="M27" s="47">
        <v>524156</v>
      </c>
      <c r="N27" s="8">
        <f t="shared" si="4"/>
        <v>6004196</v>
      </c>
      <c r="P27" s="4" t="s">
        <v>33</v>
      </c>
      <c r="Q27" s="8">
        <v>47136</v>
      </c>
      <c r="R27" s="8"/>
      <c r="S27" s="8">
        <f>48884+132119</f>
        <v>181003</v>
      </c>
      <c r="T27" s="8"/>
      <c r="U27" s="8">
        <f>55826+315924</f>
        <v>371750</v>
      </c>
      <c r="V27" s="8"/>
      <c r="W27" s="8"/>
      <c r="X27" s="8"/>
      <c r="Y27" s="8">
        <v>85744</v>
      </c>
      <c r="Z27" s="8"/>
      <c r="AA27" s="8">
        <v>3534</v>
      </c>
      <c r="AB27" s="8">
        <v>96056</v>
      </c>
      <c r="AC27" s="8">
        <f t="shared" si="5"/>
        <v>785223</v>
      </c>
    </row>
    <row r="28" spans="1:29" ht="12.75">
      <c r="A28" s="4" t="s">
        <v>11</v>
      </c>
      <c r="B28" s="8"/>
      <c r="C28" s="8"/>
      <c r="D28" s="8">
        <v>15854</v>
      </c>
      <c r="E28" s="8"/>
      <c r="F28" s="8">
        <v>5075</v>
      </c>
      <c r="G28" s="8"/>
      <c r="H28" s="8"/>
      <c r="I28" s="8"/>
      <c r="J28" s="8">
        <v>57571</v>
      </c>
      <c r="K28" s="8"/>
      <c r="L28" s="8">
        <v>58907</v>
      </c>
      <c r="M28" s="47">
        <v>84197</v>
      </c>
      <c r="N28" s="8">
        <f t="shared" si="4"/>
        <v>221604</v>
      </c>
      <c r="P28" s="4" t="s">
        <v>11</v>
      </c>
      <c r="Q28" s="8"/>
      <c r="R28" s="8"/>
      <c r="S28" s="8"/>
      <c r="T28" s="8"/>
      <c r="U28" s="8"/>
      <c r="V28" s="8"/>
      <c r="W28" s="8"/>
      <c r="X28" s="8"/>
      <c r="Y28" s="8">
        <v>96768</v>
      </c>
      <c r="Z28" s="8"/>
      <c r="AA28" s="8"/>
      <c r="AB28" s="8">
        <v>47435</v>
      </c>
      <c r="AC28" s="8">
        <f t="shared" si="5"/>
        <v>144203</v>
      </c>
    </row>
    <row r="29" spans="1:29" ht="12.75">
      <c r="A29" s="4" t="s">
        <v>12</v>
      </c>
      <c r="B29" s="8">
        <v>312930</v>
      </c>
      <c r="C29" s="8">
        <v>346209</v>
      </c>
      <c r="D29" s="8">
        <v>420139</v>
      </c>
      <c r="E29" s="8">
        <v>377854</v>
      </c>
      <c r="F29" s="8">
        <v>213153</v>
      </c>
      <c r="G29" s="8">
        <v>226143</v>
      </c>
      <c r="H29" s="8">
        <v>181746</v>
      </c>
      <c r="I29" s="8">
        <v>394716</v>
      </c>
      <c r="J29" s="8">
        <v>242534</v>
      </c>
      <c r="K29" s="8">
        <v>331787</v>
      </c>
      <c r="L29" s="8">
        <v>582000</v>
      </c>
      <c r="M29" s="47">
        <v>615469</v>
      </c>
      <c r="N29" s="8">
        <f t="shared" si="4"/>
        <v>4244680</v>
      </c>
      <c r="P29" s="4" t="s">
        <v>12</v>
      </c>
      <c r="Q29" s="8">
        <v>27496</v>
      </c>
      <c r="R29" s="8">
        <v>126249</v>
      </c>
      <c r="S29" s="8">
        <v>85877</v>
      </c>
      <c r="T29" s="8">
        <v>164341</v>
      </c>
      <c r="U29" s="8">
        <v>232185</v>
      </c>
      <c r="V29" s="8">
        <v>100913</v>
      </c>
      <c r="W29" s="8"/>
      <c r="X29" s="8">
        <v>138950</v>
      </c>
      <c r="Y29" s="8">
        <v>97993</v>
      </c>
      <c r="Z29" s="8">
        <v>143053</v>
      </c>
      <c r="AA29" s="8">
        <v>84826</v>
      </c>
      <c r="AB29" s="8">
        <v>58108</v>
      </c>
      <c r="AC29" s="8">
        <f t="shared" si="5"/>
        <v>1259991</v>
      </c>
    </row>
    <row r="30" spans="1:29" ht="12.75">
      <c r="A30" s="4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47"/>
      <c r="N30" s="8"/>
      <c r="P30" s="4" t="s">
        <v>13</v>
      </c>
      <c r="Q30" s="8"/>
      <c r="R30" s="8"/>
      <c r="S30" s="8"/>
      <c r="T30" s="8"/>
      <c r="U30" s="8"/>
      <c r="V30" s="8"/>
      <c r="W30" s="8"/>
      <c r="X30" s="8">
        <v>1230</v>
      </c>
      <c r="Y30" s="8"/>
      <c r="Z30" s="8"/>
      <c r="AA30" s="8"/>
      <c r="AB30" s="8"/>
      <c r="AC30" s="8">
        <f t="shared" si="5"/>
        <v>1230</v>
      </c>
    </row>
    <row r="31" spans="1:29" ht="12.75">
      <c r="A31" s="4" t="s">
        <v>14</v>
      </c>
      <c r="B31" s="8">
        <v>909984</v>
      </c>
      <c r="C31" s="8">
        <v>744480</v>
      </c>
      <c r="D31" s="8">
        <v>1175860</v>
      </c>
      <c r="E31" s="8">
        <v>2074316</v>
      </c>
      <c r="F31" s="8">
        <v>2564184</v>
      </c>
      <c r="G31" s="8">
        <v>1378744</v>
      </c>
      <c r="H31" s="8">
        <v>961689</v>
      </c>
      <c r="I31" s="8">
        <v>837389</v>
      </c>
      <c r="J31" s="8">
        <v>388299</v>
      </c>
      <c r="K31" s="8">
        <v>288510</v>
      </c>
      <c r="L31" s="8">
        <v>481858</v>
      </c>
      <c r="M31" s="47">
        <v>303584</v>
      </c>
      <c r="N31" s="8">
        <f t="shared" si="4"/>
        <v>12108897</v>
      </c>
      <c r="P31" s="4" t="s">
        <v>14</v>
      </c>
      <c r="Q31" s="8">
        <v>187234</v>
      </c>
      <c r="R31" s="8">
        <v>134058</v>
      </c>
      <c r="S31" s="8">
        <v>159864</v>
      </c>
      <c r="T31" s="8">
        <v>432203</v>
      </c>
      <c r="U31" s="8">
        <v>85008</v>
      </c>
      <c r="V31" s="8">
        <v>127662</v>
      </c>
      <c r="W31" s="8">
        <v>58977</v>
      </c>
      <c r="X31" s="8">
        <v>154935</v>
      </c>
      <c r="Y31" s="8">
        <v>340527</v>
      </c>
      <c r="Z31" s="8">
        <v>155074</v>
      </c>
      <c r="AA31" s="8">
        <v>283931</v>
      </c>
      <c r="AB31" s="8">
        <v>66409</v>
      </c>
      <c r="AC31" s="8">
        <f t="shared" si="5"/>
        <v>2185882</v>
      </c>
    </row>
    <row r="32" spans="1:29" ht="12.75">
      <c r="A32" s="4" t="s">
        <v>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7"/>
      <c r="N32" s="8"/>
      <c r="P32" s="4" t="s">
        <v>15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.75">
      <c r="A33" s="4" t="s">
        <v>16</v>
      </c>
      <c r="B33" s="8"/>
      <c r="C33" s="8">
        <v>83298</v>
      </c>
      <c r="D33" s="8">
        <v>332940</v>
      </c>
      <c r="E33" s="8">
        <v>269156</v>
      </c>
      <c r="F33" s="8">
        <v>336224</v>
      </c>
      <c r="G33" s="8">
        <v>286934</v>
      </c>
      <c r="H33" s="8">
        <v>101104</v>
      </c>
      <c r="I33" s="8">
        <v>122965</v>
      </c>
      <c r="J33" s="8">
        <v>39197</v>
      </c>
      <c r="K33" s="8">
        <v>145457</v>
      </c>
      <c r="L33" s="8">
        <v>201461</v>
      </c>
      <c r="M33" s="47">
        <v>54550</v>
      </c>
      <c r="N33" s="8">
        <f t="shared" si="4"/>
        <v>1973286</v>
      </c>
      <c r="P33" s="4" t="s">
        <v>16</v>
      </c>
      <c r="Q33" s="8"/>
      <c r="R33" s="8">
        <v>1302</v>
      </c>
      <c r="S33" s="8">
        <v>288020</v>
      </c>
      <c r="T33" s="8">
        <v>304095</v>
      </c>
      <c r="U33" s="8">
        <v>67245</v>
      </c>
      <c r="V33" s="8">
        <v>57144</v>
      </c>
      <c r="W33" s="8">
        <v>263592</v>
      </c>
      <c r="X33" s="8">
        <v>260685</v>
      </c>
      <c r="Y33" s="8">
        <v>68595</v>
      </c>
      <c r="Z33" s="8">
        <v>97372</v>
      </c>
      <c r="AA33" s="8">
        <v>78935</v>
      </c>
      <c r="AB33" s="8">
        <v>394896</v>
      </c>
      <c r="AC33" s="8">
        <f t="shared" si="5"/>
        <v>1881881</v>
      </c>
    </row>
    <row r="34" spans="1:29" ht="12.75">
      <c r="A34" s="4" t="s">
        <v>17</v>
      </c>
      <c r="B34" s="8">
        <v>123077</v>
      </c>
      <c r="C34" s="8">
        <v>140566</v>
      </c>
      <c r="D34" s="8">
        <v>110980</v>
      </c>
      <c r="E34" s="8">
        <v>186339</v>
      </c>
      <c r="F34" s="8">
        <v>187778</v>
      </c>
      <c r="G34" s="8">
        <v>437697</v>
      </c>
      <c r="H34" s="8">
        <v>304515</v>
      </c>
      <c r="I34" s="8">
        <v>100831</v>
      </c>
      <c r="J34" s="8">
        <v>171488</v>
      </c>
      <c r="K34" s="8">
        <v>283702</v>
      </c>
      <c r="L34" s="8">
        <v>94251</v>
      </c>
      <c r="M34" s="47">
        <v>199227</v>
      </c>
      <c r="N34" s="8">
        <f t="shared" si="4"/>
        <v>2340451</v>
      </c>
      <c r="P34" s="4" t="s">
        <v>17</v>
      </c>
      <c r="Q34" s="8">
        <v>981997</v>
      </c>
      <c r="R34" s="8">
        <v>460744</v>
      </c>
      <c r="S34" s="8">
        <v>1856274</v>
      </c>
      <c r="T34" s="8">
        <v>931695</v>
      </c>
      <c r="U34" s="8">
        <v>295623</v>
      </c>
      <c r="V34" s="8">
        <v>330704</v>
      </c>
      <c r="W34" s="8">
        <v>524777</v>
      </c>
      <c r="X34" s="8">
        <v>446362</v>
      </c>
      <c r="Y34" s="8">
        <v>448320</v>
      </c>
      <c r="Z34" s="8">
        <v>759744</v>
      </c>
      <c r="AA34" s="8">
        <v>865931</v>
      </c>
      <c r="AB34" s="8">
        <v>378294</v>
      </c>
      <c r="AC34" s="8">
        <f t="shared" si="5"/>
        <v>8280465</v>
      </c>
    </row>
    <row r="35" spans="1:29" ht="12.75">
      <c r="A35" s="4" t="s">
        <v>18</v>
      </c>
      <c r="B35" s="8"/>
      <c r="C35" s="8"/>
      <c r="D35" s="8"/>
      <c r="E35" s="8">
        <v>20704</v>
      </c>
      <c r="F35" s="8">
        <v>54557</v>
      </c>
      <c r="G35" s="8"/>
      <c r="H35" s="8">
        <v>33701</v>
      </c>
      <c r="I35" s="8"/>
      <c r="J35" s="8"/>
      <c r="K35" s="8"/>
      <c r="L35" s="8">
        <v>18850</v>
      </c>
      <c r="M35" s="47">
        <v>21346</v>
      </c>
      <c r="N35" s="8">
        <f t="shared" si="4"/>
        <v>149158</v>
      </c>
      <c r="P35" s="4" t="s">
        <v>18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2.75">
      <c r="A36" s="4" t="s">
        <v>19</v>
      </c>
      <c r="B36" s="8">
        <v>358756</v>
      </c>
      <c r="C36" s="8"/>
      <c r="D36" s="8">
        <v>293304</v>
      </c>
      <c r="E36" s="8"/>
      <c r="F36" s="8">
        <v>49482</v>
      </c>
      <c r="G36" s="8"/>
      <c r="H36" s="8"/>
      <c r="I36" s="8"/>
      <c r="J36" s="8"/>
      <c r="K36" s="8">
        <v>419542</v>
      </c>
      <c r="L36" s="8">
        <v>155514</v>
      </c>
      <c r="M36" s="47"/>
      <c r="N36" s="8">
        <f t="shared" si="4"/>
        <v>1276598</v>
      </c>
      <c r="P36" s="4" t="s">
        <v>19</v>
      </c>
      <c r="Q36" s="8">
        <v>77250</v>
      </c>
      <c r="R36" s="8"/>
      <c r="S36" s="8"/>
      <c r="T36" s="8">
        <v>169517</v>
      </c>
      <c r="U36" s="8"/>
      <c r="V36" s="8"/>
      <c r="W36" s="8"/>
      <c r="X36" s="8"/>
      <c r="Y36" s="8"/>
      <c r="Z36" s="8"/>
      <c r="AA36" s="8"/>
      <c r="AB36" s="8">
        <v>117402</v>
      </c>
      <c r="AC36" s="8">
        <f t="shared" si="5"/>
        <v>364169</v>
      </c>
    </row>
    <row r="37" spans="1:29" ht="12.75">
      <c r="A37" s="11" t="s">
        <v>46</v>
      </c>
      <c r="B37" s="12"/>
      <c r="C37" s="12">
        <f>59871+187421</f>
        <v>247292</v>
      </c>
      <c r="D37" s="12">
        <f>652668</f>
        <v>652668</v>
      </c>
      <c r="E37" s="12">
        <f>653481+18116</f>
        <v>671597</v>
      </c>
      <c r="F37" s="12">
        <v>124339</v>
      </c>
      <c r="G37" s="12"/>
      <c r="H37" s="12">
        <v>203411</v>
      </c>
      <c r="I37" s="12">
        <v>13526</v>
      </c>
      <c r="J37" s="12">
        <v>20824</v>
      </c>
      <c r="K37" s="12"/>
      <c r="L37" s="12"/>
      <c r="M37" s="12"/>
      <c r="N37" s="9">
        <f t="shared" si="4"/>
        <v>1933657</v>
      </c>
      <c r="P37" s="11" t="s">
        <v>35</v>
      </c>
      <c r="Q37" s="12"/>
      <c r="R37" s="12"/>
      <c r="S37" s="12"/>
      <c r="T37" s="12"/>
      <c r="U37" s="12"/>
      <c r="V37" s="12"/>
      <c r="W37" s="12">
        <v>9629</v>
      </c>
      <c r="X37" s="12"/>
      <c r="Y37" s="12"/>
      <c r="Z37" s="12"/>
      <c r="AA37" s="12"/>
      <c r="AB37" s="12"/>
      <c r="AC37" s="9">
        <f t="shared" si="5"/>
        <v>9629</v>
      </c>
    </row>
    <row r="38" spans="1:29" ht="12.75">
      <c r="A38" s="1" t="s">
        <v>20</v>
      </c>
      <c r="B38" s="10">
        <f>SUM(B24:B37)</f>
        <v>38384301</v>
      </c>
      <c r="C38" s="10">
        <f aca="true" t="shared" si="6" ref="C38:M38">SUM(C24:C37)</f>
        <v>40112101</v>
      </c>
      <c r="D38" s="10">
        <f t="shared" si="6"/>
        <v>48585481</v>
      </c>
      <c r="E38" s="10">
        <f t="shared" si="6"/>
        <v>44757608</v>
      </c>
      <c r="F38" s="10">
        <f t="shared" si="6"/>
        <v>48067355</v>
      </c>
      <c r="G38" s="10">
        <f t="shared" si="6"/>
        <v>49183727</v>
      </c>
      <c r="H38" s="10">
        <f t="shared" si="6"/>
        <v>40132164</v>
      </c>
      <c r="I38" s="10">
        <f t="shared" si="6"/>
        <v>43316754</v>
      </c>
      <c r="J38" s="10">
        <f t="shared" si="6"/>
        <v>47452062</v>
      </c>
      <c r="K38" s="10">
        <f t="shared" si="6"/>
        <v>43628767</v>
      </c>
      <c r="L38" s="10">
        <f t="shared" si="6"/>
        <v>43977501</v>
      </c>
      <c r="M38" s="10">
        <f t="shared" si="6"/>
        <v>48276945</v>
      </c>
      <c r="N38" s="10">
        <f t="shared" si="4"/>
        <v>535874766</v>
      </c>
      <c r="P38" s="1" t="s">
        <v>20</v>
      </c>
      <c r="Q38" s="10">
        <f>SUM(Q24:Q37)</f>
        <v>10001968</v>
      </c>
      <c r="R38" s="10">
        <f>SUM(R24:R37)</f>
        <v>11286937</v>
      </c>
      <c r="S38" s="10">
        <f aca="true" t="shared" si="7" ref="S38:AB38">SUM(S24:S37)</f>
        <v>14267543</v>
      </c>
      <c r="T38" s="10">
        <f t="shared" si="7"/>
        <v>11092349</v>
      </c>
      <c r="U38" s="10">
        <f t="shared" si="7"/>
        <v>10683044</v>
      </c>
      <c r="V38" s="10">
        <f t="shared" si="7"/>
        <v>11471300</v>
      </c>
      <c r="W38" s="10">
        <f t="shared" si="7"/>
        <v>7173552</v>
      </c>
      <c r="X38" s="10">
        <f t="shared" si="7"/>
        <v>11455387</v>
      </c>
      <c r="Y38" s="10">
        <f t="shared" si="7"/>
        <v>13870960</v>
      </c>
      <c r="Z38" s="10">
        <f t="shared" si="7"/>
        <v>11750783</v>
      </c>
      <c r="AA38" s="10">
        <f t="shared" si="7"/>
        <v>12289148</v>
      </c>
      <c r="AB38" s="10">
        <f t="shared" si="7"/>
        <v>10385887</v>
      </c>
      <c r="AC38" s="10">
        <f t="shared" si="5"/>
        <v>135728858</v>
      </c>
    </row>
    <row r="39" spans="1:16" ht="12.75">
      <c r="A39" s="5" t="s">
        <v>24</v>
      </c>
      <c r="P39" s="5" t="s">
        <v>24</v>
      </c>
    </row>
    <row r="41" spans="1:16" ht="12.75">
      <c r="A41" t="s">
        <v>44</v>
      </c>
      <c r="P41" t="s">
        <v>45</v>
      </c>
    </row>
    <row r="42" spans="1:16" ht="12.75">
      <c r="A42" t="s">
        <v>32</v>
      </c>
      <c r="P42" t="s">
        <v>32</v>
      </c>
    </row>
    <row r="43" spans="1:29" ht="12.75">
      <c r="A43" s="1" t="s">
        <v>21</v>
      </c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7</v>
      </c>
      <c r="J43" s="2" t="s">
        <v>8</v>
      </c>
      <c r="K43" s="2" t="s">
        <v>28</v>
      </c>
      <c r="L43" s="2" t="s">
        <v>29</v>
      </c>
      <c r="M43" s="2" t="s">
        <v>30</v>
      </c>
      <c r="N43" s="49" t="s">
        <v>25</v>
      </c>
      <c r="P43" s="1" t="s">
        <v>21</v>
      </c>
      <c r="Q43" s="2" t="s">
        <v>0</v>
      </c>
      <c r="R43" s="2" t="s">
        <v>1</v>
      </c>
      <c r="S43" s="2" t="s">
        <v>2</v>
      </c>
      <c r="T43" s="2" t="s">
        <v>3</v>
      </c>
      <c r="U43" s="2" t="s">
        <v>4</v>
      </c>
      <c r="V43" s="2" t="s">
        <v>5</v>
      </c>
      <c r="W43" s="2" t="s">
        <v>6</v>
      </c>
      <c r="X43" s="61" t="s">
        <v>7</v>
      </c>
      <c r="Y43" s="2" t="s">
        <v>8</v>
      </c>
      <c r="Z43" s="2" t="s">
        <v>28</v>
      </c>
      <c r="AA43" s="2" t="s">
        <v>29</v>
      </c>
      <c r="AB43" s="2" t="s">
        <v>30</v>
      </c>
      <c r="AC43" s="6" t="s">
        <v>25</v>
      </c>
    </row>
    <row r="44" spans="1:29" ht="12.75">
      <c r="A44" s="3" t="s">
        <v>9</v>
      </c>
      <c r="B44" s="14">
        <f aca="true" t="shared" si="8" ref="B44:N44">B24/B4</f>
        <v>5609.85835127653</v>
      </c>
      <c r="C44" s="14">
        <f t="shared" si="8"/>
        <v>5783.890807208844</v>
      </c>
      <c r="D44" s="14">
        <f t="shared" si="8"/>
        <v>6334.300210526316</v>
      </c>
      <c r="E44" s="14">
        <f t="shared" si="8"/>
        <v>6116.709755727507</v>
      </c>
      <c r="F44" s="14">
        <f t="shared" si="8"/>
        <v>6148.669063733784</v>
      </c>
      <c r="G44" s="14">
        <f t="shared" si="8"/>
        <v>6024.80192409067</v>
      </c>
      <c r="H44" s="14">
        <f t="shared" si="8"/>
        <v>5848.040118638776</v>
      </c>
      <c r="I44" s="14">
        <f t="shared" si="8"/>
        <v>5779.372786055665</v>
      </c>
      <c r="J44" s="14">
        <f t="shared" si="8"/>
        <v>5182.405936073059</v>
      </c>
      <c r="K44" s="14">
        <f t="shared" si="8"/>
        <v>5085.918624783577</v>
      </c>
      <c r="L44" s="14">
        <f t="shared" si="8"/>
        <v>5478.910921456194</v>
      </c>
      <c r="M44" s="14">
        <f t="shared" si="8"/>
        <v>5696.184966746141</v>
      </c>
      <c r="N44" s="14">
        <f t="shared" si="8"/>
        <v>5736.702112555104</v>
      </c>
      <c r="P44" s="3" t="s">
        <v>9</v>
      </c>
      <c r="Q44" s="14">
        <f>Q24/Q4</f>
        <v>2875.398805573988</v>
      </c>
      <c r="R44" s="14">
        <f aca="true" t="shared" si="9" ref="R44:AC46">R24/R4</f>
        <v>2900.7853014037987</v>
      </c>
      <c r="S44" s="14">
        <f t="shared" si="9"/>
        <v>3129.04293815825</v>
      </c>
      <c r="T44" s="14">
        <f t="shared" si="9"/>
        <v>3022.552956899432</v>
      </c>
      <c r="U44" s="14">
        <f t="shared" si="9"/>
        <v>3132.0945062132114</v>
      </c>
      <c r="V44" s="14">
        <f t="shared" si="9"/>
        <v>2904.7785579260058</v>
      </c>
      <c r="W44" s="57">
        <f t="shared" si="9"/>
        <v>3076.754505601559</v>
      </c>
      <c r="X44" s="14">
        <f t="shared" si="9"/>
        <v>3076.6703264094954</v>
      </c>
      <c r="Y44" s="14">
        <f t="shared" si="9"/>
        <v>2563.389560661024</v>
      </c>
      <c r="Z44" s="14">
        <f t="shared" si="9"/>
        <v>2640.3573745944595</v>
      </c>
      <c r="AA44" s="14">
        <f t="shared" si="9"/>
        <v>2567.522705992509</v>
      </c>
      <c r="AB44" s="14">
        <f t="shared" si="9"/>
        <v>2938.0006383657837</v>
      </c>
      <c r="AC44" s="14">
        <f t="shared" si="9"/>
        <v>2871.776616309873</v>
      </c>
    </row>
    <row r="45" spans="1:29" ht="12.75">
      <c r="A45" s="4" t="s">
        <v>27</v>
      </c>
      <c r="B45" s="15">
        <v>6546.647</v>
      </c>
      <c r="C45" s="15">
        <v>8134.613</v>
      </c>
      <c r="D45" s="15">
        <f aca="true" t="shared" si="10" ref="D45:N45">D25/D5</f>
        <v>5654.7</v>
      </c>
      <c r="E45" s="15">
        <f t="shared" si="10"/>
        <v>4501.732394366197</v>
      </c>
      <c r="F45" s="15">
        <f t="shared" si="10"/>
        <v>5843.026315789473</v>
      </c>
      <c r="G45" s="15">
        <f t="shared" si="10"/>
        <v>5342.615384615385</v>
      </c>
      <c r="H45" s="15">
        <f t="shared" si="10"/>
        <v>5803.107142857143</v>
      </c>
      <c r="I45" s="15">
        <f t="shared" si="10"/>
        <v>5738.351851851852</v>
      </c>
      <c r="J45" s="15">
        <f t="shared" si="10"/>
        <v>5159.058823529412</v>
      </c>
      <c r="K45" s="15">
        <f t="shared" si="10"/>
        <v>4672.18556701031</v>
      </c>
      <c r="L45" s="15">
        <f t="shared" si="10"/>
        <v>4444.349593495935</v>
      </c>
      <c r="M45" s="15">
        <f t="shared" si="10"/>
        <v>4621.871794871795</v>
      </c>
      <c r="N45" s="15">
        <f t="shared" si="10"/>
        <v>4984.911255411255</v>
      </c>
      <c r="P45" s="4" t="s">
        <v>27</v>
      </c>
      <c r="Q45" s="15">
        <v>3790.164</v>
      </c>
      <c r="R45" s="15">
        <v>5658.561</v>
      </c>
      <c r="S45" s="15">
        <v>8769.976</v>
      </c>
      <c r="T45" s="15">
        <v>1774.985</v>
      </c>
      <c r="U45" s="15">
        <v>1831.215</v>
      </c>
      <c r="V45" s="15">
        <v>1870.498</v>
      </c>
      <c r="W45" s="58"/>
      <c r="X45" s="15">
        <f t="shared" si="9"/>
        <v>2254.3611111111113</v>
      </c>
      <c r="Y45" s="15">
        <f t="shared" si="9"/>
        <v>2245.6666666666665</v>
      </c>
      <c r="Z45" s="15">
        <f t="shared" si="9"/>
        <v>2103.75</v>
      </c>
      <c r="AA45" s="15"/>
      <c r="AB45" s="15"/>
      <c r="AC45" s="15">
        <f t="shared" si="9"/>
        <v>2790.9220779220777</v>
      </c>
    </row>
    <row r="46" spans="1:29" ht="12.75">
      <c r="A46" s="4" t="s">
        <v>10</v>
      </c>
      <c r="B46" s="15"/>
      <c r="C46" s="15">
        <v>13015.38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P46" s="4" t="s">
        <v>10</v>
      </c>
      <c r="Q46" s="15"/>
      <c r="R46" s="15"/>
      <c r="S46" s="15"/>
      <c r="T46" s="15"/>
      <c r="U46" s="15"/>
      <c r="V46" s="15"/>
      <c r="W46" s="58"/>
      <c r="X46" s="15">
        <f t="shared" si="9"/>
        <v>3689</v>
      </c>
      <c r="Y46" s="15"/>
      <c r="Z46" s="15">
        <f t="shared" si="9"/>
        <v>7213</v>
      </c>
      <c r="AA46" s="15">
        <f t="shared" si="9"/>
        <v>3534</v>
      </c>
      <c r="AB46" s="15">
        <f t="shared" si="9"/>
        <v>1733.1538461538462</v>
      </c>
      <c r="AC46" s="15">
        <f t="shared" si="9"/>
        <v>2951.1052631578946</v>
      </c>
    </row>
    <row r="47" spans="1:29" ht="12.75">
      <c r="A47" s="4" t="s">
        <v>33</v>
      </c>
      <c r="B47" s="15">
        <f aca="true" t="shared" si="11" ref="B47:M47">B27/B7</f>
        <v>6862.689655172414</v>
      </c>
      <c r="C47" s="15">
        <f t="shared" si="11"/>
        <v>7028.3</v>
      </c>
      <c r="D47" s="15">
        <f t="shared" si="11"/>
        <v>7352.695652173913</v>
      </c>
      <c r="E47" s="15">
        <f t="shared" si="11"/>
        <v>7576.594202898551</v>
      </c>
      <c r="F47" s="15">
        <f t="shared" si="11"/>
        <v>6696.277777777777</v>
      </c>
      <c r="G47" s="15">
        <f t="shared" si="11"/>
        <v>6399.780219780219</v>
      </c>
      <c r="H47" s="15">
        <f t="shared" si="11"/>
        <v>5380.3432835820895</v>
      </c>
      <c r="I47" s="15">
        <f t="shared" si="11"/>
        <v>6313.4029850746265</v>
      </c>
      <c r="J47" s="15">
        <f t="shared" si="11"/>
        <v>6050.026086956522</v>
      </c>
      <c r="K47" s="15">
        <f t="shared" si="11"/>
        <v>6324.228260869565</v>
      </c>
      <c r="L47" s="15">
        <f t="shared" si="11"/>
        <v>6161.081967213115</v>
      </c>
      <c r="M47" s="15">
        <f t="shared" si="11"/>
        <v>5889.393258426966</v>
      </c>
      <c r="N47" s="15">
        <f>N27/N7</f>
        <v>6300.310598111228</v>
      </c>
      <c r="P47" s="4" t="s">
        <v>33</v>
      </c>
      <c r="Q47" s="15">
        <v>2633.288</v>
      </c>
      <c r="R47" s="15"/>
      <c r="S47" s="15">
        <f>S27/S7</f>
        <v>2661.8088235294117</v>
      </c>
      <c r="T47" s="15"/>
      <c r="U47" s="15">
        <f>U27/U7</f>
        <v>2528.91156462585</v>
      </c>
      <c r="V47" s="15"/>
      <c r="W47" s="58"/>
      <c r="X47" s="15"/>
      <c r="Y47" s="15">
        <f aca="true" t="shared" si="12" ref="Y47:AC48">Y27/Y7</f>
        <v>3572.6666666666665</v>
      </c>
      <c r="Z47" s="15"/>
      <c r="AA47" s="15">
        <f t="shared" si="12"/>
        <v>3534</v>
      </c>
      <c r="AB47" s="15">
        <f t="shared" si="12"/>
        <v>3842.24</v>
      </c>
      <c r="AC47" s="15">
        <f t="shared" si="12"/>
        <v>2774.6395759717316</v>
      </c>
    </row>
    <row r="48" spans="1:29" ht="12.75">
      <c r="A48" s="4" t="s">
        <v>11</v>
      </c>
      <c r="B48" s="15"/>
      <c r="C48" s="15"/>
      <c r="D48" s="15">
        <v>12195.61</v>
      </c>
      <c r="E48" s="15"/>
      <c r="F48" s="15">
        <v>10150.161</v>
      </c>
      <c r="G48" s="15"/>
      <c r="H48" s="15"/>
      <c r="I48" s="15"/>
      <c r="J48" s="15">
        <f>J28/J8</f>
        <v>8224.42857142857</v>
      </c>
      <c r="K48" s="15"/>
      <c r="L48" s="15">
        <f>L28/L8</f>
        <v>8415.285714285714</v>
      </c>
      <c r="M48" s="15">
        <f>M28/M8</f>
        <v>12028.142857142857</v>
      </c>
      <c r="N48" s="15">
        <f>N28/N8</f>
        <v>9634.95652173913</v>
      </c>
      <c r="P48" s="4" t="s">
        <v>11</v>
      </c>
      <c r="Q48" s="15"/>
      <c r="R48" s="15"/>
      <c r="S48" s="15"/>
      <c r="T48" s="15"/>
      <c r="U48" s="15"/>
      <c r="V48" s="15"/>
      <c r="W48" s="58"/>
      <c r="X48" s="15"/>
      <c r="Y48" s="15">
        <f t="shared" si="12"/>
        <v>2419.2</v>
      </c>
      <c r="Z48" s="15"/>
      <c r="AA48" s="15"/>
      <c r="AB48" s="15">
        <f t="shared" si="12"/>
        <v>11858.75</v>
      </c>
      <c r="AC48" s="15">
        <f t="shared" si="12"/>
        <v>3277.340909090909</v>
      </c>
    </row>
    <row r="49" spans="1:29" ht="12.75">
      <c r="A49" s="4" t="s">
        <v>12</v>
      </c>
      <c r="B49" s="15">
        <f aca="true" t="shared" si="13" ref="B49:I49">B29/B9</f>
        <v>7277.441860465116</v>
      </c>
      <c r="C49" s="15">
        <f t="shared" si="13"/>
        <v>6924.18</v>
      </c>
      <c r="D49" s="15">
        <f t="shared" si="13"/>
        <v>7121</v>
      </c>
      <c r="E49" s="15">
        <f t="shared" si="13"/>
        <v>6870.072727272727</v>
      </c>
      <c r="F49" s="15">
        <f t="shared" si="13"/>
        <v>7105.1</v>
      </c>
      <c r="G49" s="15">
        <f t="shared" si="13"/>
        <v>7294.935483870968</v>
      </c>
      <c r="H49" s="15">
        <f t="shared" si="13"/>
        <v>9087.3</v>
      </c>
      <c r="I49" s="15">
        <f t="shared" si="13"/>
        <v>7048.5</v>
      </c>
      <c r="J49" s="15">
        <f>J29/J9</f>
        <v>8363.241379310344</v>
      </c>
      <c r="K49" s="15">
        <f>K29/K9</f>
        <v>9479.628571428571</v>
      </c>
      <c r="L49" s="15">
        <f>L29/L9</f>
        <v>9387.09677419355</v>
      </c>
      <c r="M49" s="15">
        <f>M29/M9</f>
        <v>8548.180555555555</v>
      </c>
      <c r="N49" s="15">
        <f>N29/N9</f>
        <v>7831.512915129151</v>
      </c>
      <c r="P49" s="4" t="s">
        <v>12</v>
      </c>
      <c r="Q49" s="15">
        <f aca="true" t="shared" si="14" ref="Q49:V49">Q29/Q9</f>
        <v>9165.333333333334</v>
      </c>
      <c r="R49" s="15">
        <f t="shared" si="14"/>
        <v>4508.892857142857</v>
      </c>
      <c r="S49" s="15">
        <f t="shared" si="14"/>
        <v>3578.2083333333335</v>
      </c>
      <c r="T49" s="15">
        <f t="shared" si="14"/>
        <v>3423.7708333333335</v>
      </c>
      <c r="U49" s="15">
        <f t="shared" si="14"/>
        <v>5528.214285714285</v>
      </c>
      <c r="V49" s="15">
        <f t="shared" si="14"/>
        <v>5311.210526315789</v>
      </c>
      <c r="W49" s="58"/>
      <c r="X49" s="15">
        <f aca="true" t="shared" si="15" ref="X49:AC49">X29/X9</f>
        <v>7719.444444444444</v>
      </c>
      <c r="Y49" s="15">
        <f t="shared" si="15"/>
        <v>3919.72</v>
      </c>
      <c r="Z49" s="15">
        <f t="shared" si="15"/>
        <v>8414.882352941177</v>
      </c>
      <c r="AA49" s="15">
        <f t="shared" si="15"/>
        <v>3534.4166666666665</v>
      </c>
      <c r="AB49" s="15">
        <f t="shared" si="15"/>
        <v>6456.444444444444</v>
      </c>
      <c r="AC49" s="15">
        <f t="shared" si="15"/>
        <v>4902.688715953307</v>
      </c>
    </row>
    <row r="50" spans="1:29" ht="12.75">
      <c r="A50" s="4" t="s">
        <v>13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P50" s="4" t="s">
        <v>13</v>
      </c>
      <c r="Q50" s="15"/>
      <c r="R50" s="15"/>
      <c r="S50" s="15"/>
      <c r="T50" s="15"/>
      <c r="U50" s="15"/>
      <c r="V50" s="15"/>
      <c r="W50" s="58"/>
      <c r="X50" s="15">
        <f>X30/X10</f>
        <v>1230</v>
      </c>
      <c r="Y50" s="15"/>
      <c r="Z50" s="15"/>
      <c r="AA50" s="15"/>
      <c r="AB50" s="15"/>
      <c r="AC50" s="15">
        <f>AC30/AC10</f>
        <v>1230</v>
      </c>
    </row>
    <row r="51" spans="1:29" ht="12.75">
      <c r="A51" s="4" t="s">
        <v>14</v>
      </c>
      <c r="B51" s="15">
        <f>B31/B11</f>
        <v>4972.5901639344265</v>
      </c>
      <c r="C51" s="15">
        <f aca="true" t="shared" si="16" ref="C51:M54">C31/C11</f>
        <v>5394.782608695652</v>
      </c>
      <c r="D51" s="15">
        <f t="shared" si="16"/>
        <v>5572.796208530805</v>
      </c>
      <c r="E51" s="15">
        <f t="shared" si="16"/>
        <v>5238.171717171717</v>
      </c>
      <c r="F51" s="15">
        <f t="shared" si="16"/>
        <v>5233.028571428571</v>
      </c>
      <c r="G51" s="15">
        <f t="shared" si="16"/>
        <v>5242.372623574144</v>
      </c>
      <c r="H51" s="15">
        <f t="shared" si="16"/>
        <v>4472.972093023256</v>
      </c>
      <c r="I51" s="15">
        <f t="shared" si="16"/>
        <v>5333.6878980891715</v>
      </c>
      <c r="J51" s="15">
        <f t="shared" si="16"/>
        <v>4915.177215189873</v>
      </c>
      <c r="K51" s="15">
        <f t="shared" si="16"/>
        <v>4242.794117647059</v>
      </c>
      <c r="L51" s="15">
        <f t="shared" si="16"/>
        <v>7899.311475409836</v>
      </c>
      <c r="M51" s="15">
        <f t="shared" si="16"/>
        <v>10119.466666666667</v>
      </c>
      <c r="N51" s="15">
        <f>N31/N11</f>
        <v>5285.419903972064</v>
      </c>
      <c r="P51" s="4" t="s">
        <v>14</v>
      </c>
      <c r="Q51" s="15">
        <f>Q31/Q11</f>
        <v>3120.5666666666666</v>
      </c>
      <c r="R51" s="15">
        <f aca="true" t="shared" si="17" ref="R51:AC54">R31/R11</f>
        <v>2351.8947368421054</v>
      </c>
      <c r="S51" s="15">
        <f t="shared" si="17"/>
        <v>2537.5238095238096</v>
      </c>
      <c r="T51" s="15">
        <f t="shared" si="17"/>
        <v>3001.409722222222</v>
      </c>
      <c r="U51" s="15">
        <f t="shared" si="17"/>
        <v>3864</v>
      </c>
      <c r="V51" s="15">
        <f t="shared" si="17"/>
        <v>3039.5714285714284</v>
      </c>
      <c r="W51" s="58">
        <f t="shared" si="17"/>
        <v>4914.75</v>
      </c>
      <c r="X51" s="15">
        <f t="shared" si="17"/>
        <v>3161.938775510204</v>
      </c>
      <c r="Y51" s="15">
        <f t="shared" si="17"/>
        <v>3584.4947368421053</v>
      </c>
      <c r="Z51" s="15">
        <f t="shared" si="17"/>
        <v>6742.347826086957</v>
      </c>
      <c r="AA51" s="15">
        <f t="shared" si="17"/>
        <v>3785.7466666666664</v>
      </c>
      <c r="AB51" s="15">
        <f t="shared" si="17"/>
        <v>7378.777777777777</v>
      </c>
      <c r="AC51" s="15">
        <f t="shared" si="17"/>
        <v>3357.7296466973885</v>
      </c>
    </row>
    <row r="52" spans="1:29" ht="12.75">
      <c r="A52" s="4" t="s">
        <v>15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P52" s="4" t="s">
        <v>15</v>
      </c>
      <c r="Q52" s="15"/>
      <c r="R52" s="15"/>
      <c r="S52" s="15"/>
      <c r="T52" s="15"/>
      <c r="U52" s="15"/>
      <c r="V52" s="15"/>
      <c r="W52" s="58"/>
      <c r="X52" s="15"/>
      <c r="Y52" s="15"/>
      <c r="Z52" s="15"/>
      <c r="AA52" s="15"/>
      <c r="AB52" s="15"/>
      <c r="AC52" s="15"/>
    </row>
    <row r="53" spans="1:29" ht="12.75">
      <c r="A53" s="4" t="s">
        <v>16</v>
      </c>
      <c r="B53" s="15"/>
      <c r="C53" s="15">
        <f t="shared" si="16"/>
        <v>6941.5</v>
      </c>
      <c r="D53" s="15">
        <f t="shared" si="16"/>
        <v>7237.826086956522</v>
      </c>
      <c r="E53" s="15">
        <f t="shared" si="16"/>
        <v>5726.723404255319</v>
      </c>
      <c r="F53" s="15">
        <f t="shared" si="16"/>
        <v>7004.666666666667</v>
      </c>
      <c r="G53" s="15">
        <f t="shared" si="16"/>
        <v>5977.791666666667</v>
      </c>
      <c r="H53" s="15">
        <f t="shared" si="16"/>
        <v>4044.16</v>
      </c>
      <c r="I53" s="15">
        <f t="shared" si="16"/>
        <v>5346.304347826087</v>
      </c>
      <c r="J53" s="15">
        <f t="shared" si="16"/>
        <v>3563.3636363636365</v>
      </c>
      <c r="K53" s="15">
        <f t="shared" si="16"/>
        <v>4155.914285714286</v>
      </c>
      <c r="L53" s="15">
        <f t="shared" si="16"/>
        <v>8394.208333333334</v>
      </c>
      <c r="M53" s="15">
        <f t="shared" si="16"/>
        <v>4545.833333333333</v>
      </c>
      <c r="N53" s="15">
        <f aca="true" t="shared" si="18" ref="N53:N58">N33/N13</f>
        <v>5961.589123867069</v>
      </c>
      <c r="P53" s="4" t="s">
        <v>16</v>
      </c>
      <c r="Q53" s="15"/>
      <c r="R53" s="15">
        <v>6507.69</v>
      </c>
      <c r="S53" s="15">
        <f aca="true" t="shared" si="19" ref="Q53:T54">S33/S13</f>
        <v>4721.639344262295</v>
      </c>
      <c r="T53" s="15">
        <f t="shared" si="19"/>
        <v>3663.7951807228915</v>
      </c>
      <c r="U53" s="15">
        <f t="shared" si="17"/>
        <v>2689.8</v>
      </c>
      <c r="V53" s="15">
        <f t="shared" si="17"/>
        <v>3361.4117647058824</v>
      </c>
      <c r="W53" s="58">
        <f t="shared" si="17"/>
        <v>3029.793103448276</v>
      </c>
      <c r="X53" s="15">
        <f t="shared" si="17"/>
        <v>6517.125</v>
      </c>
      <c r="Y53" s="15">
        <f t="shared" si="17"/>
        <v>2982.391304347826</v>
      </c>
      <c r="Z53" s="15">
        <f t="shared" si="17"/>
        <v>3477.5714285714284</v>
      </c>
      <c r="AA53" s="15">
        <f t="shared" si="17"/>
        <v>3587.9545454545455</v>
      </c>
      <c r="AB53" s="15">
        <f t="shared" si="17"/>
        <v>5265.28</v>
      </c>
      <c r="AC53" s="15">
        <f t="shared" si="17"/>
        <v>4082.1713665943603</v>
      </c>
    </row>
    <row r="54" spans="1:29" ht="12.75">
      <c r="A54" s="4" t="s">
        <v>17</v>
      </c>
      <c r="B54" s="15">
        <f>B34/B14</f>
        <v>6477.736842105263</v>
      </c>
      <c r="C54" s="15">
        <f t="shared" si="16"/>
        <v>6389.363636363636</v>
      </c>
      <c r="D54" s="15">
        <f t="shared" si="16"/>
        <v>6165.555555555556</v>
      </c>
      <c r="E54" s="15">
        <f t="shared" si="16"/>
        <v>6901.444444444444</v>
      </c>
      <c r="F54" s="15">
        <f t="shared" si="16"/>
        <v>6475.103448275862</v>
      </c>
      <c r="G54" s="15">
        <f t="shared" si="16"/>
        <v>7678.894736842105</v>
      </c>
      <c r="H54" s="15">
        <f t="shared" si="16"/>
        <v>6479.04255319149</v>
      </c>
      <c r="I54" s="15">
        <f t="shared" si="16"/>
        <v>9166.454545454546</v>
      </c>
      <c r="J54" s="15">
        <f t="shared" si="16"/>
        <v>9527.111111111111</v>
      </c>
      <c r="K54" s="15">
        <f t="shared" si="16"/>
        <v>7274.410256410257</v>
      </c>
      <c r="L54" s="15">
        <f t="shared" si="16"/>
        <v>7250.076923076923</v>
      </c>
      <c r="M54" s="15">
        <f t="shared" si="16"/>
        <v>9487</v>
      </c>
      <c r="N54" s="15">
        <f t="shared" si="18"/>
        <v>7291.1246105919</v>
      </c>
      <c r="P54" s="4" t="s">
        <v>17</v>
      </c>
      <c r="Q54" s="15">
        <f t="shared" si="19"/>
        <v>4676.176190476191</v>
      </c>
      <c r="R54" s="15">
        <f t="shared" si="19"/>
        <v>4849.936842105263</v>
      </c>
      <c r="S54" s="15">
        <f t="shared" si="19"/>
        <v>5303.64</v>
      </c>
      <c r="T54" s="15">
        <f t="shared" si="19"/>
        <v>4436.642857142857</v>
      </c>
      <c r="U54" s="15">
        <f t="shared" si="17"/>
        <v>4479.136363636364</v>
      </c>
      <c r="V54" s="15">
        <f t="shared" si="17"/>
        <v>4351.368421052632</v>
      </c>
      <c r="W54" s="58">
        <f t="shared" si="17"/>
        <v>4603.30701754386</v>
      </c>
      <c r="X54" s="15">
        <f t="shared" si="17"/>
        <v>4333.611650485437</v>
      </c>
      <c r="Y54" s="15">
        <f t="shared" si="17"/>
        <v>4229.433962264151</v>
      </c>
      <c r="Z54" s="15">
        <f t="shared" si="17"/>
        <v>5505.391304347826</v>
      </c>
      <c r="AA54" s="15">
        <f t="shared" si="17"/>
        <v>4440.671794871795</v>
      </c>
      <c r="AB54" s="15">
        <f t="shared" si="17"/>
        <v>4067.6774193548385</v>
      </c>
      <c r="AC54" s="15">
        <f t="shared" si="17"/>
        <v>4715.526765375855</v>
      </c>
    </row>
    <row r="55" spans="1:29" ht="12.75">
      <c r="A55" s="4" t="s">
        <v>18</v>
      </c>
      <c r="B55" s="15"/>
      <c r="C55" s="15"/>
      <c r="D55" s="15"/>
      <c r="E55" s="15">
        <v>34507.235</v>
      </c>
      <c r="F55" s="15">
        <v>45464.262</v>
      </c>
      <c r="G55" s="15"/>
      <c r="H55" s="15">
        <v>56168.74</v>
      </c>
      <c r="I55" s="15"/>
      <c r="J55" s="15"/>
      <c r="K55" s="15"/>
      <c r="L55" s="15"/>
      <c r="M55" s="15">
        <f>M35/M15</f>
        <v>21346</v>
      </c>
      <c r="N55" s="15">
        <f t="shared" si="18"/>
        <v>37289.5</v>
      </c>
      <c r="P55" s="4" t="s">
        <v>18</v>
      </c>
      <c r="Q55" s="15"/>
      <c r="R55" s="15"/>
      <c r="S55" s="15"/>
      <c r="T55" s="15"/>
      <c r="U55" s="15"/>
      <c r="V55" s="15"/>
      <c r="W55" s="58"/>
      <c r="X55" s="15"/>
      <c r="Y55" s="15"/>
      <c r="Z55" s="15"/>
      <c r="AA55" s="15"/>
      <c r="AB55" s="15"/>
      <c r="AC55" s="15"/>
    </row>
    <row r="56" spans="1:29" ht="12.75">
      <c r="A56" s="4" t="s">
        <v>19</v>
      </c>
      <c r="B56" s="15">
        <v>6859.584</v>
      </c>
      <c r="C56" s="15"/>
      <c r="D56" s="15">
        <v>6666.01</v>
      </c>
      <c r="E56" s="15"/>
      <c r="F56" s="15">
        <v>6034.394</v>
      </c>
      <c r="G56" s="15"/>
      <c r="H56" s="15"/>
      <c r="I56" s="15"/>
      <c r="J56" s="15"/>
      <c r="K56" s="15">
        <f>K36/K16</f>
        <v>5826.972222222223</v>
      </c>
      <c r="L56" s="15">
        <f>L36/L16</f>
        <v>5759.777777777777</v>
      </c>
      <c r="M56" s="15"/>
      <c r="N56" s="15">
        <f t="shared" si="18"/>
        <v>6288.660098522168</v>
      </c>
      <c r="P56" s="4" t="s">
        <v>19</v>
      </c>
      <c r="Q56" s="15">
        <v>5440.172</v>
      </c>
      <c r="R56" s="15"/>
      <c r="S56" s="15"/>
      <c r="T56" s="15">
        <v>11152.42</v>
      </c>
      <c r="U56" s="15"/>
      <c r="V56" s="15"/>
      <c r="W56" s="58"/>
      <c r="X56" s="15"/>
      <c r="Y56" s="15"/>
      <c r="Z56" s="15"/>
      <c r="AA56" s="15"/>
      <c r="AB56" s="15">
        <f>AB36/AB16</f>
        <v>9030.923076923076</v>
      </c>
      <c r="AC56" s="15">
        <f>AC36/AC16</f>
        <v>8670.690476190477</v>
      </c>
    </row>
    <row r="57" spans="1:29" ht="12.75">
      <c r="A57" s="11" t="s">
        <v>46</v>
      </c>
      <c r="B57" s="16"/>
      <c r="C57" s="16">
        <f>C37/C17</f>
        <v>6340.820512820513</v>
      </c>
      <c r="D57" s="16">
        <f>D37/D17</f>
        <v>6798.625</v>
      </c>
      <c r="E57" s="16">
        <f>E37/E17</f>
        <v>8291.32098765432</v>
      </c>
      <c r="F57" s="16">
        <f>F37/F17</f>
        <v>8289.266666666666</v>
      </c>
      <c r="G57" s="16"/>
      <c r="H57" s="16">
        <f>H37/H17</f>
        <v>7014.172413793103</v>
      </c>
      <c r="I57" s="16">
        <f>I37/I17</f>
        <v>3381.5</v>
      </c>
      <c r="J57" s="18">
        <f>J37/J17</f>
        <v>10412</v>
      </c>
      <c r="K57" s="18"/>
      <c r="L57" s="18"/>
      <c r="M57" s="18"/>
      <c r="N57" s="18">
        <f t="shared" si="18"/>
        <v>7269.387218045113</v>
      </c>
      <c r="P57" s="11" t="s">
        <v>35</v>
      </c>
      <c r="Q57" s="16"/>
      <c r="R57" s="16"/>
      <c r="S57" s="16"/>
      <c r="T57" s="16"/>
      <c r="U57" s="16"/>
      <c r="V57" s="16"/>
      <c r="W57" s="16">
        <v>1816.779</v>
      </c>
      <c r="X57" s="18"/>
      <c r="Y57" s="18"/>
      <c r="Z57" s="18"/>
      <c r="AA57" s="18"/>
      <c r="AB57" s="18"/>
      <c r="AC57" s="18">
        <f>AC37/AC17</f>
        <v>1925.8</v>
      </c>
    </row>
    <row r="58" spans="1:29" ht="12.75">
      <c r="A58" s="1" t="s">
        <v>20</v>
      </c>
      <c r="B58" s="17">
        <f>B38/B18</f>
        <v>5620.779177039098</v>
      </c>
      <c r="C58" s="17">
        <f aca="true" t="shared" si="20" ref="C58:J58">C38/C18</f>
        <v>5800.653756865018</v>
      </c>
      <c r="D58" s="17">
        <f t="shared" si="20"/>
        <v>6332.005864720449</v>
      </c>
      <c r="E58" s="17">
        <f t="shared" si="20"/>
        <v>6099.428727173617</v>
      </c>
      <c r="F58" s="17">
        <f t="shared" si="20"/>
        <v>6113.883871788349</v>
      </c>
      <c r="G58" s="17">
        <f t="shared" si="20"/>
        <v>6011.210828648253</v>
      </c>
      <c r="H58" s="17">
        <f t="shared" si="20"/>
        <v>5812.044026068067</v>
      </c>
      <c r="I58" s="17">
        <f t="shared" si="20"/>
        <v>5786.368421052632</v>
      </c>
      <c r="J58" s="17">
        <f t="shared" si="20"/>
        <v>5211.076433121019</v>
      </c>
      <c r="K58" s="17">
        <f>K38/K18</f>
        <v>5118.344321914594</v>
      </c>
      <c r="L58" s="17">
        <f>L38/L18</f>
        <v>5540.1235827664395</v>
      </c>
      <c r="M58" s="17">
        <f>M38/M18</f>
        <v>5723.407824540604</v>
      </c>
      <c r="N58" s="17">
        <f t="shared" si="18"/>
        <v>5750.154955633945</v>
      </c>
      <c r="P58" s="1" t="s">
        <v>20</v>
      </c>
      <c r="Q58" s="17">
        <f>Q38/Q18</f>
        <v>3009.9211555823053</v>
      </c>
      <c r="R58" s="17">
        <f aca="true" t="shared" si="21" ref="R58:AC58">R38/R18</f>
        <v>2956.243321110529</v>
      </c>
      <c r="S58" s="17">
        <f t="shared" si="21"/>
        <v>3331.981083605792</v>
      </c>
      <c r="T58" s="17">
        <f t="shared" si="21"/>
        <v>3153.9235143588285</v>
      </c>
      <c r="U58" s="17">
        <f t="shared" si="21"/>
        <v>3152.270286220124</v>
      </c>
      <c r="V58" s="17">
        <f t="shared" si="21"/>
        <v>2946.647829437452</v>
      </c>
      <c r="W58" s="17">
        <f t="shared" si="21"/>
        <v>3158.7635402906208</v>
      </c>
      <c r="X58" s="17">
        <f t="shared" si="21"/>
        <v>3166.2208402432284</v>
      </c>
      <c r="Y58" s="17">
        <f t="shared" si="21"/>
        <v>2626.5782995644763</v>
      </c>
      <c r="Z58" s="17">
        <f t="shared" si="21"/>
        <v>2785.8660502607872</v>
      </c>
      <c r="AA58" s="17">
        <f t="shared" si="21"/>
        <v>2677.374291938998</v>
      </c>
      <c r="AB58" s="17">
        <f t="shared" si="21"/>
        <v>3078.211914641375</v>
      </c>
      <c r="AC58" s="17">
        <f t="shared" si="21"/>
        <v>2978.2081449949533</v>
      </c>
    </row>
    <row r="59" spans="1:16" ht="12.75">
      <c r="A59" s="5" t="s">
        <v>24</v>
      </c>
      <c r="P59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9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bestFit="1" customWidth="1"/>
    <col min="2" max="13" width="10.7109375" style="0" customWidth="1"/>
    <col min="14" max="14" width="16.421875" style="0" customWidth="1"/>
    <col min="16" max="16" width="20.57421875" style="0" bestFit="1" customWidth="1"/>
    <col min="17" max="20" width="10.7109375" style="0" customWidth="1"/>
    <col min="21" max="23" width="11.140625" style="0" customWidth="1"/>
    <col min="24" max="24" width="12.57421875" style="0" customWidth="1"/>
    <col min="25" max="25" width="10.7109375" style="0" customWidth="1"/>
    <col min="26" max="26" width="14.7109375" style="0" customWidth="1"/>
    <col min="27" max="27" width="11.8515625" style="0" customWidth="1"/>
    <col min="28" max="28" width="10.7109375" style="0" customWidth="1"/>
    <col min="29" max="29" width="14.00390625" style="0" customWidth="1"/>
  </cols>
  <sheetData>
    <row r="1" spans="1:16" ht="12.75">
      <c r="A1" t="s">
        <v>50</v>
      </c>
      <c r="P1" t="s">
        <v>51</v>
      </c>
    </row>
    <row r="2" spans="1:16" ht="12.75">
      <c r="A2" t="s">
        <v>23</v>
      </c>
      <c r="P2" t="s">
        <v>23</v>
      </c>
    </row>
    <row r="3" spans="1:29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  <c r="P3" s="1" t="s">
        <v>21</v>
      </c>
      <c r="Q3" s="2" t="s">
        <v>0</v>
      </c>
      <c r="R3" s="2" t="s">
        <v>1</v>
      </c>
      <c r="S3" s="2" t="s">
        <v>2</v>
      </c>
      <c r="T3" s="2" t="s">
        <v>3</v>
      </c>
      <c r="U3" s="2" t="s">
        <v>4</v>
      </c>
      <c r="V3" s="2" t="s">
        <v>5</v>
      </c>
      <c r="W3" s="2" t="s">
        <v>6</v>
      </c>
      <c r="X3" s="2" t="s">
        <v>7</v>
      </c>
      <c r="Y3" s="2" t="s">
        <v>8</v>
      </c>
      <c r="Z3" s="2" t="s">
        <v>28</v>
      </c>
      <c r="AA3" s="2" t="s">
        <v>29</v>
      </c>
      <c r="AB3" s="2" t="s">
        <v>30</v>
      </c>
      <c r="AC3" s="49" t="s">
        <v>25</v>
      </c>
    </row>
    <row r="4" spans="1:29" ht="12.75">
      <c r="A4" s="3" t="s">
        <v>9</v>
      </c>
      <c r="B4" s="7">
        <f>39+14+1175+67</f>
        <v>1295</v>
      </c>
      <c r="C4" s="7">
        <f>24+9+172+25+37</f>
        <v>267</v>
      </c>
      <c r="D4" s="7">
        <f>84+19+64+570+146</f>
        <v>883</v>
      </c>
      <c r="E4" s="7">
        <f>52+38+120+479+208+14</f>
        <v>911</v>
      </c>
      <c r="F4" s="7">
        <f>45+77+72+1129+75</f>
        <v>1398</v>
      </c>
      <c r="G4" s="7">
        <f>91+77+61+1197+19+129+44</f>
        <v>1618</v>
      </c>
      <c r="H4" s="7">
        <v>1332</v>
      </c>
      <c r="I4" s="7">
        <v>1479</v>
      </c>
      <c r="J4" s="7">
        <v>989</v>
      </c>
      <c r="K4" s="7">
        <v>1301</v>
      </c>
      <c r="L4" s="7">
        <v>2090</v>
      </c>
      <c r="M4" s="7">
        <v>1894</v>
      </c>
      <c r="N4" s="7">
        <f>SUM(B4:M4)</f>
        <v>15457</v>
      </c>
      <c r="P4" s="3" t="s">
        <v>9</v>
      </c>
      <c r="Q4" s="7">
        <f>24+1043+14+768+70</f>
        <v>1919</v>
      </c>
      <c r="R4" s="7">
        <f>47+73+370+468+88+46+355</f>
        <v>1447</v>
      </c>
      <c r="S4" s="7">
        <f>282+448+143+1442+942+1870+290+2038+40</f>
        <v>7495</v>
      </c>
      <c r="T4" s="7">
        <f>121+449+937+1798+596+689+284+1530+105</f>
        <v>6509</v>
      </c>
      <c r="U4" s="7">
        <v>6180</v>
      </c>
      <c r="V4" s="7">
        <f>199+352+337+1702+1086+2352+524+1015+134</f>
        <v>7701</v>
      </c>
      <c r="W4" s="7">
        <v>5247</v>
      </c>
      <c r="X4" s="7">
        <v>4775</v>
      </c>
      <c r="Y4" s="7">
        <v>3837</v>
      </c>
      <c r="Z4" s="7">
        <v>5360</v>
      </c>
      <c r="AA4" s="7">
        <v>8140</v>
      </c>
      <c r="AB4" s="67">
        <v>5352</v>
      </c>
      <c r="AC4" s="7">
        <f>SUM(Q4:AB4)</f>
        <v>63962</v>
      </c>
    </row>
    <row r="5" spans="1:29" ht="12.75">
      <c r="A5" s="4" t="s">
        <v>27</v>
      </c>
      <c r="B5" s="8">
        <v>72</v>
      </c>
      <c r="C5" s="8">
        <v>328</v>
      </c>
      <c r="D5" s="8">
        <v>528</v>
      </c>
      <c r="E5" s="8">
        <v>827</v>
      </c>
      <c r="F5" s="8">
        <v>985</v>
      </c>
      <c r="G5" s="8">
        <v>1196</v>
      </c>
      <c r="H5" s="8">
        <v>1175</v>
      </c>
      <c r="I5" s="8">
        <v>954</v>
      </c>
      <c r="J5" s="8">
        <v>888</v>
      </c>
      <c r="K5" s="8">
        <v>849</v>
      </c>
      <c r="L5" s="8">
        <v>547</v>
      </c>
      <c r="M5" s="8"/>
      <c r="N5" s="8">
        <f aca="true" t="shared" si="0" ref="N5:N18">SUM(B5:M5)</f>
        <v>8349</v>
      </c>
      <c r="P5" s="4" t="s">
        <v>27</v>
      </c>
      <c r="Q5" s="8"/>
      <c r="R5" s="8"/>
      <c r="S5" s="8">
        <v>19</v>
      </c>
      <c r="T5" s="8">
        <v>19</v>
      </c>
      <c r="U5" s="8">
        <v>276</v>
      </c>
      <c r="V5" s="8">
        <f>110+20</f>
        <v>130</v>
      </c>
      <c r="W5" s="8">
        <v>19</v>
      </c>
      <c r="X5" s="8">
        <v>136</v>
      </c>
      <c r="Y5" s="8">
        <v>39</v>
      </c>
      <c r="Z5" s="8">
        <v>78</v>
      </c>
      <c r="AA5" s="8">
        <v>20</v>
      </c>
      <c r="AB5" s="47"/>
      <c r="AC5" s="8">
        <f aca="true" t="shared" si="1" ref="AC5:AC16">SUM(Q5:AB5)</f>
        <v>736</v>
      </c>
    </row>
    <row r="6" spans="1:29" ht="12.75">
      <c r="A6" s="4" t="s">
        <v>10</v>
      </c>
      <c r="B6" s="8"/>
      <c r="C6" s="20"/>
      <c r="D6" s="8"/>
      <c r="E6" s="8"/>
      <c r="F6" s="8"/>
      <c r="G6" s="8"/>
      <c r="H6" s="20"/>
      <c r="I6" s="8"/>
      <c r="J6" s="8"/>
      <c r="K6" s="8"/>
      <c r="L6" s="8"/>
      <c r="M6" s="8"/>
      <c r="N6" s="8"/>
      <c r="P6" s="4" t="s">
        <v>10</v>
      </c>
      <c r="Q6" s="19">
        <v>1</v>
      </c>
      <c r="R6" s="19"/>
      <c r="S6" s="19"/>
      <c r="T6" s="19"/>
      <c r="U6" s="19"/>
      <c r="V6" s="19"/>
      <c r="W6" s="19"/>
      <c r="X6" s="19"/>
      <c r="Y6" s="8"/>
      <c r="Z6" s="8"/>
      <c r="AA6" s="8"/>
      <c r="AB6" s="47">
        <v>20</v>
      </c>
      <c r="AC6" s="8">
        <f t="shared" si="1"/>
        <v>21</v>
      </c>
    </row>
    <row r="7" spans="1:29" ht="12.75">
      <c r="A7" s="4" t="s">
        <v>33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4" t="s">
        <v>33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47"/>
      <c r="AC7" s="8"/>
    </row>
    <row r="8" spans="1:29" ht="12.75">
      <c r="A8" s="4" t="s">
        <v>11</v>
      </c>
      <c r="B8" s="8"/>
      <c r="C8" s="8"/>
      <c r="D8" s="8"/>
      <c r="E8" s="8"/>
      <c r="F8" s="8"/>
      <c r="G8" s="8"/>
      <c r="H8" s="8">
        <v>36</v>
      </c>
      <c r="I8" s="8">
        <v>15</v>
      </c>
      <c r="J8" s="8"/>
      <c r="K8" s="8"/>
      <c r="L8" s="8"/>
      <c r="M8" s="8"/>
      <c r="N8" s="8">
        <f t="shared" si="0"/>
        <v>51</v>
      </c>
      <c r="P8" s="4" t="s">
        <v>11</v>
      </c>
      <c r="Q8" s="8"/>
      <c r="R8" s="8"/>
      <c r="S8" s="8"/>
      <c r="T8" s="8"/>
      <c r="U8" s="8"/>
      <c r="V8" s="8"/>
      <c r="W8" s="8"/>
      <c r="X8" s="8">
        <v>219</v>
      </c>
      <c r="Y8" s="8">
        <v>98</v>
      </c>
      <c r="Z8" s="8"/>
      <c r="AA8" s="8"/>
      <c r="AB8" s="47"/>
      <c r="AC8" s="8">
        <f t="shared" si="1"/>
        <v>317</v>
      </c>
    </row>
    <row r="9" spans="1:29" ht="12.75">
      <c r="A9" s="4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P9" s="4" t="s">
        <v>12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47"/>
      <c r="AC9" s="8"/>
    </row>
    <row r="10" spans="1:29" ht="12.75">
      <c r="A10" s="4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P10" s="4" t="s">
        <v>13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47"/>
      <c r="AC10" s="8"/>
    </row>
    <row r="11" spans="1:29" ht="12.75">
      <c r="A11" s="4" t="s">
        <v>14</v>
      </c>
      <c r="B11" s="8"/>
      <c r="C11" s="8"/>
      <c r="D11" s="8">
        <v>50</v>
      </c>
      <c r="E11" s="8">
        <v>45</v>
      </c>
      <c r="F11" s="8"/>
      <c r="G11" s="8"/>
      <c r="H11" s="8"/>
      <c r="I11" s="8">
        <v>45</v>
      </c>
      <c r="J11" s="8">
        <v>21</v>
      </c>
      <c r="K11" s="8">
        <v>105</v>
      </c>
      <c r="L11" s="8">
        <v>67</v>
      </c>
      <c r="M11" s="8"/>
      <c r="N11" s="8">
        <f t="shared" si="0"/>
        <v>333</v>
      </c>
      <c r="P11" s="4" t="s">
        <v>14</v>
      </c>
      <c r="Q11" s="8">
        <v>2270</v>
      </c>
      <c r="R11" s="8">
        <v>2103</v>
      </c>
      <c r="S11" s="8">
        <v>8237</v>
      </c>
      <c r="T11" s="8">
        <v>24781</v>
      </c>
      <c r="U11" s="8">
        <v>35600</v>
      </c>
      <c r="V11" s="8">
        <v>38243</v>
      </c>
      <c r="W11" s="8">
        <v>49132</v>
      </c>
      <c r="X11" s="8">
        <v>34933</v>
      </c>
      <c r="Y11" s="8">
        <v>21516</v>
      </c>
      <c r="Z11" s="8">
        <v>36319</v>
      </c>
      <c r="AA11" s="8">
        <v>28650</v>
      </c>
      <c r="AB11" s="47">
        <v>12535</v>
      </c>
      <c r="AC11" s="8">
        <f t="shared" si="1"/>
        <v>294319</v>
      </c>
    </row>
    <row r="12" spans="1:29" ht="12.75">
      <c r="A12" s="4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4" t="s">
        <v>15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47"/>
      <c r="AC12" s="8"/>
    </row>
    <row r="13" spans="1:29" ht="12.75">
      <c r="A13" s="4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P13" s="4" t="s">
        <v>16</v>
      </c>
      <c r="Q13" s="8"/>
      <c r="R13" s="19"/>
      <c r="S13" s="8"/>
      <c r="T13" s="8"/>
      <c r="U13" s="8"/>
      <c r="V13" s="8"/>
      <c r="W13" s="8"/>
      <c r="X13" s="8"/>
      <c r="Y13" s="8"/>
      <c r="Z13" s="8"/>
      <c r="AA13" s="8"/>
      <c r="AB13" s="47"/>
      <c r="AC13" s="8"/>
    </row>
    <row r="14" spans="1:29" ht="12.75">
      <c r="A14" s="4" t="s">
        <v>17</v>
      </c>
      <c r="B14" s="8">
        <v>2</v>
      </c>
      <c r="C14" s="8">
        <v>2</v>
      </c>
      <c r="D14" s="8">
        <v>20</v>
      </c>
      <c r="E14" s="8">
        <v>10</v>
      </c>
      <c r="F14" s="8">
        <v>39</v>
      </c>
      <c r="G14" s="8">
        <v>5</v>
      </c>
      <c r="H14" s="8">
        <v>16</v>
      </c>
      <c r="I14" s="8">
        <v>8</v>
      </c>
      <c r="J14" s="8">
        <v>8</v>
      </c>
      <c r="K14" s="8">
        <v>8</v>
      </c>
      <c r="L14" s="8">
        <v>20</v>
      </c>
      <c r="M14" s="8">
        <v>25</v>
      </c>
      <c r="N14" s="8">
        <f t="shared" si="0"/>
        <v>163</v>
      </c>
      <c r="P14" s="4" t="s">
        <v>17</v>
      </c>
      <c r="Q14" s="8">
        <v>7912</v>
      </c>
      <c r="R14" s="8">
        <v>12876</v>
      </c>
      <c r="S14" s="8">
        <v>13126</v>
      </c>
      <c r="T14" s="8">
        <v>17394</v>
      </c>
      <c r="U14" s="8">
        <v>22881</v>
      </c>
      <c r="V14" s="8">
        <v>28428</v>
      </c>
      <c r="W14" s="8">
        <v>25605</v>
      </c>
      <c r="X14" s="8">
        <v>11163</v>
      </c>
      <c r="Y14" s="8">
        <v>9629</v>
      </c>
      <c r="Z14" s="8">
        <v>22271</v>
      </c>
      <c r="AA14" s="8">
        <v>17410</v>
      </c>
      <c r="AB14" s="47">
        <v>3685</v>
      </c>
      <c r="AC14" s="8">
        <f t="shared" si="1"/>
        <v>192380</v>
      </c>
    </row>
    <row r="15" spans="1:29" ht="12.75">
      <c r="A15" s="4" t="s">
        <v>18</v>
      </c>
      <c r="B15" s="8">
        <v>2</v>
      </c>
      <c r="C15" s="8">
        <v>17</v>
      </c>
      <c r="D15" s="8">
        <v>12</v>
      </c>
      <c r="E15" s="8">
        <v>17</v>
      </c>
      <c r="F15" s="8">
        <v>14</v>
      </c>
      <c r="G15" s="8">
        <v>91</v>
      </c>
      <c r="H15" s="8">
        <v>75</v>
      </c>
      <c r="I15" s="8">
        <v>17</v>
      </c>
      <c r="J15" s="8">
        <v>24</v>
      </c>
      <c r="K15" s="8">
        <v>29</v>
      </c>
      <c r="L15" s="8">
        <v>31</v>
      </c>
      <c r="M15" s="8">
        <v>22</v>
      </c>
      <c r="N15" s="8">
        <f t="shared" si="0"/>
        <v>351</v>
      </c>
      <c r="P15" s="4" t="s">
        <v>18</v>
      </c>
      <c r="Q15" s="8">
        <v>28</v>
      </c>
      <c r="R15" s="8">
        <v>59</v>
      </c>
      <c r="S15" s="8">
        <v>84</v>
      </c>
      <c r="T15" s="8">
        <v>129</v>
      </c>
      <c r="U15" s="8">
        <v>88</v>
      </c>
      <c r="V15" s="8">
        <v>122</v>
      </c>
      <c r="W15" s="8">
        <v>171</v>
      </c>
      <c r="X15" s="8">
        <v>49</v>
      </c>
      <c r="Y15" s="8">
        <v>67</v>
      </c>
      <c r="Z15" s="8">
        <v>9</v>
      </c>
      <c r="AA15" s="8">
        <v>31</v>
      </c>
      <c r="AB15" s="47">
        <v>61</v>
      </c>
      <c r="AC15" s="8">
        <f t="shared" si="1"/>
        <v>898</v>
      </c>
    </row>
    <row r="16" spans="1:29" ht="12.75">
      <c r="A16" s="4" t="s">
        <v>19</v>
      </c>
      <c r="B16" s="8"/>
      <c r="C16" s="20"/>
      <c r="D16" s="8"/>
      <c r="E16" s="8"/>
      <c r="F16" s="8"/>
      <c r="G16" s="8"/>
      <c r="H16" s="8"/>
      <c r="I16" s="8"/>
      <c r="J16" s="8">
        <v>1</v>
      </c>
      <c r="K16" s="8"/>
      <c r="L16" s="8"/>
      <c r="M16" s="8"/>
      <c r="N16" s="8">
        <f t="shared" si="0"/>
        <v>1</v>
      </c>
      <c r="P16" s="4" t="s">
        <v>19</v>
      </c>
      <c r="Q16" s="8"/>
      <c r="R16" s="8"/>
      <c r="S16" s="19">
        <v>1</v>
      </c>
      <c r="T16" s="19"/>
      <c r="U16" s="19">
        <v>3</v>
      </c>
      <c r="V16" s="19"/>
      <c r="W16" s="19">
        <v>2</v>
      </c>
      <c r="X16" s="8"/>
      <c r="Y16" s="8">
        <v>2</v>
      </c>
      <c r="Z16" s="8"/>
      <c r="AA16" s="8"/>
      <c r="AB16" s="47"/>
      <c r="AC16" s="8">
        <f t="shared" si="1"/>
        <v>8</v>
      </c>
    </row>
    <row r="17" spans="1:29" ht="12.75">
      <c r="A17" s="11" t="s">
        <v>49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 t="s">
        <v>49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9"/>
    </row>
    <row r="18" spans="1:29" ht="12.75">
      <c r="A18" s="1" t="s">
        <v>20</v>
      </c>
      <c r="B18" s="10">
        <f>SUM(B4:B17)</f>
        <v>1371</v>
      </c>
      <c r="C18" s="10">
        <f aca="true" t="shared" si="2" ref="C18:M18">SUM(C4:C17)</f>
        <v>614</v>
      </c>
      <c r="D18" s="10">
        <f t="shared" si="2"/>
        <v>1493</v>
      </c>
      <c r="E18" s="10">
        <f t="shared" si="2"/>
        <v>1810</v>
      </c>
      <c r="F18" s="10">
        <f t="shared" si="2"/>
        <v>2436</v>
      </c>
      <c r="G18" s="10">
        <f t="shared" si="2"/>
        <v>2910</v>
      </c>
      <c r="H18" s="10">
        <f t="shared" si="2"/>
        <v>2634</v>
      </c>
      <c r="I18" s="10">
        <f t="shared" si="2"/>
        <v>2518</v>
      </c>
      <c r="J18" s="10">
        <f t="shared" si="2"/>
        <v>1931</v>
      </c>
      <c r="K18" s="10">
        <f t="shared" si="2"/>
        <v>2292</v>
      </c>
      <c r="L18" s="10">
        <f t="shared" si="2"/>
        <v>2755</v>
      </c>
      <c r="M18" s="10">
        <f t="shared" si="2"/>
        <v>1941</v>
      </c>
      <c r="N18" s="10">
        <f t="shared" si="0"/>
        <v>24705</v>
      </c>
      <c r="P18" s="1" t="s">
        <v>20</v>
      </c>
      <c r="Q18" s="10">
        <f>SUM(Q4:Q17)</f>
        <v>12130</v>
      </c>
      <c r="R18" s="10">
        <f aca="true" t="shared" si="3" ref="R18:AC18">SUM(R4:R17)</f>
        <v>16485</v>
      </c>
      <c r="S18" s="10">
        <f t="shared" si="3"/>
        <v>28962</v>
      </c>
      <c r="T18" s="10">
        <f t="shared" si="3"/>
        <v>48832</v>
      </c>
      <c r="U18" s="10">
        <f t="shared" si="3"/>
        <v>65028</v>
      </c>
      <c r="V18" s="10">
        <f t="shared" si="3"/>
        <v>74624</v>
      </c>
      <c r="W18" s="10">
        <f t="shared" si="3"/>
        <v>80176</v>
      </c>
      <c r="X18" s="10">
        <f t="shared" si="3"/>
        <v>51275</v>
      </c>
      <c r="Y18" s="10">
        <f t="shared" si="3"/>
        <v>35188</v>
      </c>
      <c r="Z18" s="10">
        <f t="shared" si="3"/>
        <v>64037</v>
      </c>
      <c r="AA18" s="10">
        <f t="shared" si="3"/>
        <v>54251</v>
      </c>
      <c r="AB18" s="10">
        <f t="shared" si="3"/>
        <v>21653</v>
      </c>
      <c r="AC18" s="9">
        <f t="shared" si="3"/>
        <v>552641</v>
      </c>
    </row>
    <row r="19" spans="1:16" ht="12.75">
      <c r="A19" s="5" t="s">
        <v>24</v>
      </c>
      <c r="P19" s="5" t="s">
        <v>24</v>
      </c>
    </row>
    <row r="21" spans="1:16" ht="12.75">
      <c r="A21" t="s">
        <v>50</v>
      </c>
      <c r="P21" t="s">
        <v>51</v>
      </c>
    </row>
    <row r="22" spans="1:16" ht="12.75">
      <c r="A22" t="s">
        <v>31</v>
      </c>
      <c r="P22" t="s">
        <v>31</v>
      </c>
    </row>
    <row r="23" spans="1:29" ht="12.75">
      <c r="A23" s="1" t="s">
        <v>21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28</v>
      </c>
      <c r="L23" s="2" t="s">
        <v>29</v>
      </c>
      <c r="M23" s="2" t="s">
        <v>30</v>
      </c>
      <c r="N23" s="6" t="s">
        <v>25</v>
      </c>
      <c r="P23" s="1" t="s">
        <v>21</v>
      </c>
      <c r="Q23" s="2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2" t="s">
        <v>6</v>
      </c>
      <c r="X23" s="2" t="s">
        <v>7</v>
      </c>
      <c r="Y23" s="2" t="s">
        <v>8</v>
      </c>
      <c r="Z23" s="2" t="s">
        <v>28</v>
      </c>
      <c r="AA23" s="2" t="s">
        <v>29</v>
      </c>
      <c r="AB23" s="2" t="s">
        <v>30</v>
      </c>
      <c r="AC23" s="6" t="s">
        <v>25</v>
      </c>
    </row>
    <row r="24" spans="1:29" ht="12.75">
      <c r="A24" s="3" t="s">
        <v>9</v>
      </c>
      <c r="B24" s="7">
        <f>83797+16969+2613422+161950</f>
        <v>2876138</v>
      </c>
      <c r="C24" s="7">
        <f>52062+10751+420397+3721+59219+65505</f>
        <v>611655</v>
      </c>
      <c r="D24" s="7">
        <f>200821+38315+102630+1466522+364645</f>
        <v>2172933</v>
      </c>
      <c r="E24" s="7">
        <f>137166+77641+194686+1383309+531931+30927</f>
        <v>2355660</v>
      </c>
      <c r="F24" s="7">
        <v>3360380</v>
      </c>
      <c r="G24" s="7">
        <v>4163546</v>
      </c>
      <c r="H24" s="7">
        <v>3144725</v>
      </c>
      <c r="I24" s="7">
        <v>3977880</v>
      </c>
      <c r="J24" s="7">
        <v>2229661</v>
      </c>
      <c r="K24" s="7">
        <v>2811802</v>
      </c>
      <c r="L24" s="7">
        <v>4603371</v>
      </c>
      <c r="M24" s="7">
        <v>47989943</v>
      </c>
      <c r="N24" s="7">
        <f>SUM(B24:M24)</f>
        <v>80297694</v>
      </c>
      <c r="P24" s="3" t="s">
        <v>9</v>
      </c>
      <c r="Q24" s="7">
        <f>48445+2183961+19208+1995319+175715</f>
        <v>4422648</v>
      </c>
      <c r="R24" s="7">
        <f>97615+178311+1075070+921325+157870+114941+822610</f>
        <v>3367742</v>
      </c>
      <c r="S24" s="7">
        <f>681735+821781+274094+2948899+1947478+4281352+542672+4024104+57075</f>
        <v>15579190</v>
      </c>
      <c r="T24" s="7">
        <v>13400217</v>
      </c>
      <c r="U24" s="7">
        <v>12997484</v>
      </c>
      <c r="V24" s="7">
        <v>15835178</v>
      </c>
      <c r="W24" s="7">
        <v>10685677</v>
      </c>
      <c r="X24" s="7">
        <v>9912578</v>
      </c>
      <c r="Y24" s="7">
        <v>7587785</v>
      </c>
      <c r="Z24" s="7">
        <v>11033722</v>
      </c>
      <c r="AA24" s="7">
        <v>14062255</v>
      </c>
      <c r="AB24" s="7">
        <v>9240547</v>
      </c>
      <c r="AC24" s="7">
        <f>SUM(Q24:AB24)</f>
        <v>128125023</v>
      </c>
    </row>
    <row r="25" spans="1:29" ht="12.75">
      <c r="A25" s="4" t="s">
        <v>27</v>
      </c>
      <c r="B25" s="8">
        <v>144733</v>
      </c>
      <c r="C25" s="8">
        <v>701906</v>
      </c>
      <c r="D25" s="8">
        <v>295762</v>
      </c>
      <c r="E25" s="8">
        <v>1725694</v>
      </c>
      <c r="F25" s="8">
        <v>2199844</v>
      </c>
      <c r="G25" s="8">
        <v>2725306</v>
      </c>
      <c r="H25" s="8">
        <v>2723710</v>
      </c>
      <c r="I25" s="8">
        <v>2182942</v>
      </c>
      <c r="J25" s="8">
        <v>2027813</v>
      </c>
      <c r="K25" s="8">
        <v>1810426</v>
      </c>
      <c r="L25" s="8">
        <v>1134216</v>
      </c>
      <c r="M25" s="8"/>
      <c r="N25" s="8">
        <f aca="true" t="shared" si="4" ref="N25:N36">SUM(B25:M25)</f>
        <v>17672352</v>
      </c>
      <c r="P25" s="4" t="s">
        <v>27</v>
      </c>
      <c r="Q25" s="8"/>
      <c r="R25" s="8"/>
      <c r="S25" s="8">
        <v>51394</v>
      </c>
      <c r="T25" s="8">
        <v>50635</v>
      </c>
      <c r="U25" s="8">
        <v>343558</v>
      </c>
      <c r="V25" s="8">
        <f>142178+48803</f>
        <v>190981</v>
      </c>
      <c r="W25" s="8">
        <v>20750</v>
      </c>
      <c r="X25" s="8">
        <v>155833</v>
      </c>
      <c r="Y25" s="8">
        <v>55305</v>
      </c>
      <c r="Z25" s="8">
        <v>67835</v>
      </c>
      <c r="AA25" s="8">
        <v>16093</v>
      </c>
      <c r="AB25" s="8"/>
      <c r="AC25" s="8">
        <f aca="true" t="shared" si="5" ref="AC25:AC36">SUM(Q25:AB25)</f>
        <v>952384</v>
      </c>
    </row>
    <row r="26" spans="1:29" ht="12.75">
      <c r="A26" s="4" t="s">
        <v>10</v>
      </c>
      <c r="B26" s="8"/>
      <c r="C26" s="8">
        <v>196</v>
      </c>
      <c r="D26" s="8"/>
      <c r="E26" s="8"/>
      <c r="F26" s="8"/>
      <c r="G26" s="8"/>
      <c r="H26" s="8">
        <v>666</v>
      </c>
      <c r="I26" s="8"/>
      <c r="J26" s="8"/>
      <c r="K26" s="8"/>
      <c r="L26" s="8"/>
      <c r="M26" s="8">
        <v>254</v>
      </c>
      <c r="N26" s="8">
        <f t="shared" si="4"/>
        <v>1116</v>
      </c>
      <c r="P26" s="4" t="s">
        <v>10</v>
      </c>
      <c r="Q26" s="8">
        <v>6674</v>
      </c>
      <c r="R26" s="8">
        <v>393</v>
      </c>
      <c r="S26" s="8"/>
      <c r="T26" s="8">
        <v>1694</v>
      </c>
      <c r="U26" s="8">
        <v>1115</v>
      </c>
      <c r="V26" s="8">
        <v>1428</v>
      </c>
      <c r="W26" s="8">
        <v>399</v>
      </c>
      <c r="X26" s="8">
        <v>1775</v>
      </c>
      <c r="Y26" s="8">
        <v>1231</v>
      </c>
      <c r="Z26" s="8">
        <v>1720</v>
      </c>
      <c r="AA26" s="8">
        <v>331</v>
      </c>
      <c r="AB26" s="8">
        <v>33037</v>
      </c>
      <c r="AC26" s="8">
        <f t="shared" si="5"/>
        <v>49797</v>
      </c>
    </row>
    <row r="27" spans="1:29" ht="12.75">
      <c r="A27" s="4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P27" s="4" t="s">
        <v>33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.75">
      <c r="A28" s="4" t="s">
        <v>11</v>
      </c>
      <c r="B28" s="8"/>
      <c r="C28" s="8"/>
      <c r="D28" s="8"/>
      <c r="E28" s="8"/>
      <c r="F28" s="8"/>
      <c r="G28" s="8"/>
      <c r="H28" s="8">
        <v>74545</v>
      </c>
      <c r="I28" s="8">
        <v>42477</v>
      </c>
      <c r="J28" s="8"/>
      <c r="K28" s="8"/>
      <c r="L28" s="8"/>
      <c r="M28" s="8"/>
      <c r="N28" s="8">
        <f t="shared" si="4"/>
        <v>117022</v>
      </c>
      <c r="P28" s="4" t="s">
        <v>11</v>
      </c>
      <c r="Q28" s="8"/>
      <c r="R28" s="8"/>
      <c r="S28" s="8"/>
      <c r="T28" s="8"/>
      <c r="U28" s="8"/>
      <c r="V28" s="8"/>
      <c r="W28" s="8"/>
      <c r="X28" s="8">
        <v>338795</v>
      </c>
      <c r="Y28" s="8">
        <v>112608</v>
      </c>
      <c r="Z28" s="8"/>
      <c r="AA28" s="8"/>
      <c r="AB28" s="8"/>
      <c r="AC28" s="8">
        <f t="shared" si="5"/>
        <v>451403</v>
      </c>
    </row>
    <row r="29" spans="1:29" ht="12.75">
      <c r="A29" s="4" t="s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P29" s="4" t="s">
        <v>12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.75">
      <c r="A30" s="4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P30" s="4" t="s">
        <v>13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.75">
      <c r="A31" s="4" t="s">
        <v>14</v>
      </c>
      <c r="B31" s="8"/>
      <c r="C31" s="8"/>
      <c r="D31" s="8">
        <v>74569</v>
      </c>
      <c r="E31" s="8">
        <v>80680</v>
      </c>
      <c r="F31" s="8"/>
      <c r="G31" s="8"/>
      <c r="H31" s="8"/>
      <c r="I31" s="8">
        <v>83957</v>
      </c>
      <c r="J31" s="8">
        <v>49864</v>
      </c>
      <c r="K31" s="8">
        <v>246428</v>
      </c>
      <c r="L31" s="8">
        <v>193736</v>
      </c>
      <c r="M31" s="8"/>
      <c r="N31" s="8">
        <f t="shared" si="4"/>
        <v>729234</v>
      </c>
      <c r="P31" s="4" t="s">
        <v>14</v>
      </c>
      <c r="Q31" s="8">
        <v>3700208</v>
      </c>
      <c r="R31" s="8">
        <v>3313164</v>
      </c>
      <c r="S31" s="8">
        <v>13611383</v>
      </c>
      <c r="T31" s="8">
        <v>41955577</v>
      </c>
      <c r="U31" s="8">
        <v>64839056</v>
      </c>
      <c r="V31" s="8">
        <v>72249453</v>
      </c>
      <c r="W31" s="8">
        <v>96559353</v>
      </c>
      <c r="X31" s="8">
        <v>68344157</v>
      </c>
      <c r="Y31" s="8">
        <v>41275670</v>
      </c>
      <c r="Z31" s="8">
        <v>67753215</v>
      </c>
      <c r="AA31" s="8">
        <v>56118239</v>
      </c>
      <c r="AB31" s="8">
        <v>24824069</v>
      </c>
      <c r="AC31" s="8">
        <f t="shared" si="5"/>
        <v>554543544</v>
      </c>
    </row>
    <row r="32" spans="1:29" ht="12.75">
      <c r="A32" s="4" t="s">
        <v>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P32" s="4" t="s">
        <v>15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.75">
      <c r="A33" s="4" t="s">
        <v>16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P33" s="4" t="s">
        <v>16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2.75">
      <c r="A34" s="4" t="s">
        <v>17</v>
      </c>
      <c r="B34" s="8">
        <v>14641</v>
      </c>
      <c r="C34" s="8">
        <v>15069</v>
      </c>
      <c r="D34" s="8">
        <v>159386</v>
      </c>
      <c r="E34" s="8">
        <v>83549</v>
      </c>
      <c r="F34" s="8">
        <v>167593</v>
      </c>
      <c r="G34" s="8">
        <v>48932</v>
      </c>
      <c r="H34" s="8">
        <v>133302</v>
      </c>
      <c r="I34" s="8">
        <v>77409</v>
      </c>
      <c r="J34" s="8">
        <v>72815</v>
      </c>
      <c r="K34" s="8">
        <v>78298</v>
      </c>
      <c r="L34" s="8">
        <v>185254</v>
      </c>
      <c r="M34" s="8">
        <v>257931</v>
      </c>
      <c r="N34" s="8">
        <f t="shared" si="4"/>
        <v>1294179</v>
      </c>
      <c r="P34" s="4" t="s">
        <v>17</v>
      </c>
      <c r="Q34" s="8">
        <v>11708683</v>
      </c>
      <c r="R34" s="8">
        <v>20284669</v>
      </c>
      <c r="S34" s="8">
        <v>21361216</v>
      </c>
      <c r="T34" s="8">
        <v>29205736</v>
      </c>
      <c r="U34" s="8">
        <v>40314982</v>
      </c>
      <c r="V34" s="8">
        <v>53868538</v>
      </c>
      <c r="W34" s="8">
        <v>49662302</v>
      </c>
      <c r="X34" s="8">
        <v>20845236</v>
      </c>
      <c r="Y34" s="8">
        <v>17103071</v>
      </c>
      <c r="Z34" s="8">
        <v>38972690</v>
      </c>
      <c r="AA34" s="8">
        <v>31609772</v>
      </c>
      <c r="AB34" s="8">
        <v>6576873</v>
      </c>
      <c r="AC34" s="8">
        <f t="shared" si="5"/>
        <v>341513768</v>
      </c>
    </row>
    <row r="35" spans="1:29" ht="12.75">
      <c r="A35" s="4" t="s">
        <v>18</v>
      </c>
      <c r="B35" s="8">
        <v>48973</v>
      </c>
      <c r="C35" s="8">
        <v>225238</v>
      </c>
      <c r="D35" s="8">
        <v>271578</v>
      </c>
      <c r="E35" s="8">
        <v>272295</v>
      </c>
      <c r="F35" s="8">
        <v>224090</v>
      </c>
      <c r="G35" s="8">
        <v>292926</v>
      </c>
      <c r="H35" s="8">
        <v>424235</v>
      </c>
      <c r="I35" s="8">
        <v>254705</v>
      </c>
      <c r="J35" s="8">
        <v>378673</v>
      </c>
      <c r="K35" s="8">
        <v>495763</v>
      </c>
      <c r="L35" s="8">
        <v>452436</v>
      </c>
      <c r="M35" s="8">
        <v>369987</v>
      </c>
      <c r="N35" s="8">
        <f t="shared" si="4"/>
        <v>3710899</v>
      </c>
      <c r="P35" s="4" t="s">
        <v>18</v>
      </c>
      <c r="Q35" s="8">
        <v>83012</v>
      </c>
      <c r="R35" s="8">
        <v>202098</v>
      </c>
      <c r="S35" s="8">
        <v>255028</v>
      </c>
      <c r="T35" s="8">
        <v>576007</v>
      </c>
      <c r="U35" s="8">
        <v>252039</v>
      </c>
      <c r="V35" s="8">
        <v>566440</v>
      </c>
      <c r="W35" s="8">
        <v>884703</v>
      </c>
      <c r="X35" s="8">
        <v>447207</v>
      </c>
      <c r="Y35" s="8">
        <v>685387</v>
      </c>
      <c r="Z35" s="8">
        <v>158136</v>
      </c>
      <c r="AA35" s="8">
        <v>94646</v>
      </c>
      <c r="AB35" s="8">
        <v>237452</v>
      </c>
      <c r="AC35" s="8">
        <f t="shared" si="5"/>
        <v>4442155</v>
      </c>
    </row>
    <row r="36" spans="1:29" ht="12.75">
      <c r="A36" s="4" t="s">
        <v>19</v>
      </c>
      <c r="B36" s="8"/>
      <c r="C36" s="8">
        <v>3323</v>
      </c>
      <c r="D36" s="8"/>
      <c r="E36" s="8"/>
      <c r="F36" s="8"/>
      <c r="G36" s="8"/>
      <c r="H36" s="8"/>
      <c r="I36" s="8"/>
      <c r="J36" s="8">
        <v>7887</v>
      </c>
      <c r="K36" s="8"/>
      <c r="L36" s="8"/>
      <c r="M36" s="8"/>
      <c r="N36" s="8">
        <f t="shared" si="4"/>
        <v>11210</v>
      </c>
      <c r="P36" s="4" t="s">
        <v>19</v>
      </c>
      <c r="Q36" s="8"/>
      <c r="R36" s="8"/>
      <c r="S36" s="8">
        <v>7024</v>
      </c>
      <c r="T36" s="8"/>
      <c r="U36" s="8">
        <v>22346</v>
      </c>
      <c r="V36" s="8">
        <v>953</v>
      </c>
      <c r="W36" s="8">
        <v>19313</v>
      </c>
      <c r="X36" s="8">
        <v>961</v>
      </c>
      <c r="Y36" s="8">
        <v>16174</v>
      </c>
      <c r="Z36" s="8"/>
      <c r="AA36" s="8"/>
      <c r="AB36" s="8">
        <v>2990</v>
      </c>
      <c r="AC36" s="8">
        <f t="shared" si="5"/>
        <v>69761</v>
      </c>
    </row>
    <row r="37" spans="1:29" ht="12.75">
      <c r="A37" s="11" t="s">
        <v>48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P37" s="11" t="s">
        <v>49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9"/>
    </row>
    <row r="38" spans="1:29" ht="12.75">
      <c r="A38" s="1" t="s">
        <v>20</v>
      </c>
      <c r="B38" s="10">
        <f>SUM(B24:B37)</f>
        <v>3084485</v>
      </c>
      <c r="C38" s="10">
        <f aca="true" t="shared" si="6" ref="C38:N38">SUM(C24:C37)</f>
        <v>1557387</v>
      </c>
      <c r="D38" s="10">
        <f t="shared" si="6"/>
        <v>2974228</v>
      </c>
      <c r="E38" s="10">
        <f t="shared" si="6"/>
        <v>4517878</v>
      </c>
      <c r="F38" s="10">
        <f t="shared" si="6"/>
        <v>5951907</v>
      </c>
      <c r="G38" s="10">
        <f t="shared" si="6"/>
        <v>7230710</v>
      </c>
      <c r="H38" s="10">
        <f t="shared" si="6"/>
        <v>6501183</v>
      </c>
      <c r="I38" s="10">
        <f t="shared" si="6"/>
        <v>6619370</v>
      </c>
      <c r="J38" s="10">
        <f t="shared" si="6"/>
        <v>4766713</v>
      </c>
      <c r="K38" s="10">
        <f t="shared" si="6"/>
        <v>5442717</v>
      </c>
      <c r="L38" s="10">
        <f t="shared" si="6"/>
        <v>6569013</v>
      </c>
      <c r="M38" s="10">
        <f t="shared" si="6"/>
        <v>48618115</v>
      </c>
      <c r="N38" s="10">
        <f t="shared" si="6"/>
        <v>103833706</v>
      </c>
      <c r="P38" s="1" t="s">
        <v>20</v>
      </c>
      <c r="Q38" s="10">
        <f>SUM(Q24:Q37)</f>
        <v>19921225</v>
      </c>
      <c r="R38" s="10">
        <f>SUM(R24:R37)</f>
        <v>27168066</v>
      </c>
      <c r="S38" s="10">
        <f aca="true" t="shared" si="7" ref="S38:AC38">SUM(S24:S37)</f>
        <v>50865235</v>
      </c>
      <c r="T38" s="10">
        <f t="shared" si="7"/>
        <v>85189866</v>
      </c>
      <c r="U38" s="10">
        <f t="shared" si="7"/>
        <v>118770580</v>
      </c>
      <c r="V38" s="10">
        <f t="shared" si="7"/>
        <v>142712971</v>
      </c>
      <c r="W38" s="10">
        <f t="shared" si="7"/>
        <v>157832497</v>
      </c>
      <c r="X38" s="10">
        <f t="shared" si="7"/>
        <v>100046542</v>
      </c>
      <c r="Y38" s="10">
        <f t="shared" si="7"/>
        <v>66837231</v>
      </c>
      <c r="Z38" s="10">
        <f t="shared" si="7"/>
        <v>117987318</v>
      </c>
      <c r="AA38" s="10">
        <f t="shared" si="7"/>
        <v>101901336</v>
      </c>
      <c r="AB38" s="10">
        <f t="shared" si="7"/>
        <v>40914968</v>
      </c>
      <c r="AC38" s="10">
        <f t="shared" si="7"/>
        <v>1030147835</v>
      </c>
    </row>
    <row r="39" spans="1:16" ht="12.75">
      <c r="A39" s="5" t="s">
        <v>24</v>
      </c>
      <c r="P39" s="5" t="s">
        <v>24</v>
      </c>
    </row>
    <row r="41" spans="1:16" ht="12.75">
      <c r="A41" t="s">
        <v>50</v>
      </c>
      <c r="P41" t="s">
        <v>51</v>
      </c>
    </row>
    <row r="42" spans="1:16" ht="12.75">
      <c r="A42" t="s">
        <v>32</v>
      </c>
      <c r="P42" t="s">
        <v>32</v>
      </c>
    </row>
    <row r="43" spans="1:29" ht="12.75">
      <c r="A43" s="1" t="s">
        <v>21</v>
      </c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7</v>
      </c>
      <c r="J43" s="2" t="s">
        <v>8</v>
      </c>
      <c r="K43" s="2" t="s">
        <v>28</v>
      </c>
      <c r="L43" s="2" t="s">
        <v>29</v>
      </c>
      <c r="M43" s="2" t="s">
        <v>30</v>
      </c>
      <c r="N43" s="6" t="s">
        <v>25</v>
      </c>
      <c r="P43" s="1" t="s">
        <v>21</v>
      </c>
      <c r="Q43" s="2" t="s">
        <v>0</v>
      </c>
      <c r="R43" s="2" t="s">
        <v>1</v>
      </c>
      <c r="S43" s="2" t="s">
        <v>2</v>
      </c>
      <c r="T43" s="2" t="s">
        <v>3</v>
      </c>
      <c r="U43" s="2" t="s">
        <v>4</v>
      </c>
      <c r="V43" s="2" t="s">
        <v>5</v>
      </c>
      <c r="W43" s="2" t="s">
        <v>6</v>
      </c>
      <c r="X43" s="2" t="s">
        <v>7</v>
      </c>
      <c r="Y43" s="2" t="s">
        <v>8</v>
      </c>
      <c r="Z43" s="2" t="s">
        <v>28</v>
      </c>
      <c r="AA43" s="2" t="s">
        <v>29</v>
      </c>
      <c r="AB43" s="2" t="s">
        <v>30</v>
      </c>
      <c r="AC43" s="6" t="s">
        <v>25</v>
      </c>
    </row>
    <row r="44" spans="1:29" ht="12.75">
      <c r="A44" s="3" t="s">
        <v>9</v>
      </c>
      <c r="B44" s="14">
        <f aca="true" t="shared" si="8" ref="B44:N44">B24/B4</f>
        <v>2220.9559845559847</v>
      </c>
      <c r="C44" s="14">
        <f t="shared" si="8"/>
        <v>2290.8426966292136</v>
      </c>
      <c r="D44" s="14">
        <f t="shared" si="8"/>
        <v>2460.8527746319364</v>
      </c>
      <c r="E44" s="14">
        <f t="shared" si="8"/>
        <v>2585.795828759605</v>
      </c>
      <c r="F44" s="14">
        <f t="shared" si="8"/>
        <v>2403.705293276109</v>
      </c>
      <c r="G44" s="14">
        <f t="shared" si="8"/>
        <v>2573.266996291718</v>
      </c>
      <c r="H44" s="14">
        <f t="shared" si="8"/>
        <v>2360.9046546546547</v>
      </c>
      <c r="I44" s="14">
        <f t="shared" si="8"/>
        <v>2689.574036511156</v>
      </c>
      <c r="J44" s="14">
        <f t="shared" si="8"/>
        <v>2254.4600606673407</v>
      </c>
      <c r="K44" s="14">
        <f t="shared" si="8"/>
        <v>2161.262106072252</v>
      </c>
      <c r="L44" s="14">
        <f t="shared" si="8"/>
        <v>2202.5698564593304</v>
      </c>
      <c r="M44" s="14">
        <f t="shared" si="8"/>
        <v>25337.87909186906</v>
      </c>
      <c r="N44" s="14">
        <f t="shared" si="8"/>
        <v>5194.908067542214</v>
      </c>
      <c r="P44" s="3" t="s">
        <v>9</v>
      </c>
      <c r="Q44" s="14">
        <f>Q24/Q4</f>
        <v>2304.6628452318914</v>
      </c>
      <c r="R44" s="14">
        <f aca="true" t="shared" si="9" ref="R44:AB45">R24/R4</f>
        <v>2327.39599170698</v>
      </c>
      <c r="S44" s="14">
        <f t="shared" si="9"/>
        <v>2078.6110740493664</v>
      </c>
      <c r="T44" s="14">
        <f t="shared" si="9"/>
        <v>2058.721308956829</v>
      </c>
      <c r="U44" s="14">
        <f t="shared" si="9"/>
        <v>2103.1527508090617</v>
      </c>
      <c r="V44" s="70">
        <f t="shared" si="9"/>
        <v>2056.249577976886</v>
      </c>
      <c r="W44" s="70">
        <f t="shared" si="9"/>
        <v>2036.5307794930436</v>
      </c>
      <c r="X44" s="70">
        <f t="shared" si="9"/>
        <v>2075.9325654450263</v>
      </c>
      <c r="Y44" s="70">
        <f t="shared" si="9"/>
        <v>1977.5306228824602</v>
      </c>
      <c r="Z44" s="70">
        <f t="shared" si="9"/>
        <v>2058.530223880597</v>
      </c>
      <c r="AA44" s="70">
        <f t="shared" si="9"/>
        <v>1727.5497542997543</v>
      </c>
      <c r="AB44" s="70">
        <f t="shared" si="9"/>
        <v>1726.5596038863976</v>
      </c>
      <c r="AC44" s="70">
        <f>AC24/AC4</f>
        <v>2003.1428504424503</v>
      </c>
    </row>
    <row r="45" spans="1:29" ht="12.75">
      <c r="A45" s="4" t="s">
        <v>27</v>
      </c>
      <c r="B45" s="15">
        <f>B25/B5</f>
        <v>2010.1805555555557</v>
      </c>
      <c r="C45" s="15"/>
      <c r="D45" s="15">
        <f>D25/D5</f>
        <v>560.155303030303</v>
      </c>
      <c r="E45" s="15">
        <f>E25/E5</f>
        <v>2086.6916565900847</v>
      </c>
      <c r="F45" s="15">
        <f>F25/F5</f>
        <v>2233.3441624365482</v>
      </c>
      <c r="G45" s="15">
        <f>G25/G5</f>
        <v>2278.683946488294</v>
      </c>
      <c r="H45" s="15"/>
      <c r="I45" s="15"/>
      <c r="J45" s="15">
        <f>J25/J5</f>
        <v>2283.573198198198</v>
      </c>
      <c r="K45" s="15">
        <f>K25/K5</f>
        <v>2132.421672555948</v>
      </c>
      <c r="L45" s="15">
        <f>L25/L5</f>
        <v>2073.5210237659962</v>
      </c>
      <c r="M45" s="15"/>
      <c r="N45" s="15">
        <f>N25/N5</f>
        <v>2116.702838663313</v>
      </c>
      <c r="P45" s="4" t="s">
        <v>27</v>
      </c>
      <c r="Q45" s="15"/>
      <c r="R45" s="15"/>
      <c r="S45" s="15">
        <f t="shared" si="9"/>
        <v>2704.9473684210525</v>
      </c>
      <c r="T45" s="15">
        <f t="shared" si="9"/>
        <v>2665</v>
      </c>
      <c r="U45" s="15">
        <f t="shared" si="9"/>
        <v>1244.7753623188405</v>
      </c>
      <c r="V45" s="71">
        <f t="shared" si="9"/>
        <v>1469.0846153846153</v>
      </c>
      <c r="W45" s="71"/>
      <c r="X45" s="71">
        <f>X25/X5</f>
        <v>1145.8308823529412</v>
      </c>
      <c r="Y45" s="71">
        <f>Y25/Y5</f>
        <v>1418.076923076923</v>
      </c>
      <c r="Z45" s="71">
        <f>Z25/Z5</f>
        <v>869.6794871794872</v>
      </c>
      <c r="AA45" s="71">
        <f>AA25/AA5</f>
        <v>804.65</v>
      </c>
      <c r="AB45" s="71"/>
      <c r="AC45" s="71">
        <f aca="true" t="shared" si="10" ref="AC45:AC58">AC25/AC5</f>
        <v>1294</v>
      </c>
    </row>
    <row r="46" spans="1:29" ht="12.75">
      <c r="A46" s="4" t="s">
        <v>10</v>
      </c>
      <c r="B46" s="15"/>
      <c r="C46" s="15">
        <v>9776.5986</v>
      </c>
      <c r="D46" s="15"/>
      <c r="E46" s="15"/>
      <c r="F46" s="15"/>
      <c r="G46" s="15"/>
      <c r="H46" s="15">
        <v>7404.753</v>
      </c>
      <c r="I46" s="15"/>
      <c r="J46" s="15"/>
      <c r="K46" s="15"/>
      <c r="L46" s="15"/>
      <c r="M46" s="15"/>
      <c r="N46" s="15"/>
      <c r="P46" s="4" t="s">
        <v>10</v>
      </c>
      <c r="Q46" s="15">
        <v>8280.939</v>
      </c>
      <c r="R46" s="15">
        <v>9134.514</v>
      </c>
      <c r="S46" s="15"/>
      <c r="T46" s="15">
        <v>8731.953</v>
      </c>
      <c r="U46" s="15">
        <v>9448.885</v>
      </c>
      <c r="V46" s="71">
        <v>9454.508</v>
      </c>
      <c r="W46" s="71">
        <v>6052.449</v>
      </c>
      <c r="X46" s="71"/>
      <c r="Y46" s="71"/>
      <c r="Z46" s="71"/>
      <c r="AA46" s="71"/>
      <c r="AB46" s="71">
        <f>AB26/AB6</f>
        <v>1651.85</v>
      </c>
      <c r="AC46" s="71">
        <f t="shared" si="10"/>
        <v>2371.285714285714</v>
      </c>
    </row>
    <row r="47" spans="1:29" ht="12.75">
      <c r="A47" s="4" t="s">
        <v>33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P47" s="4" t="s">
        <v>33</v>
      </c>
      <c r="Q47" s="15"/>
      <c r="R47" s="15"/>
      <c r="S47" s="15"/>
      <c r="T47" s="15"/>
      <c r="U47" s="15"/>
      <c r="V47" s="71"/>
      <c r="W47" s="71"/>
      <c r="X47" s="71"/>
      <c r="Y47" s="71"/>
      <c r="Z47" s="71"/>
      <c r="AA47" s="71"/>
      <c r="AB47" s="71"/>
      <c r="AC47" s="71"/>
    </row>
    <row r="48" spans="1:29" ht="12.75">
      <c r="A48" s="4" t="s">
        <v>11</v>
      </c>
      <c r="B48" s="15"/>
      <c r="C48" s="15"/>
      <c r="D48" s="15"/>
      <c r="E48" s="15"/>
      <c r="F48" s="15"/>
      <c r="G48" s="15"/>
      <c r="H48" s="15">
        <v>2045.579</v>
      </c>
      <c r="I48" s="15">
        <v>2904.807</v>
      </c>
      <c r="J48" s="15"/>
      <c r="K48" s="15"/>
      <c r="L48" s="15"/>
      <c r="M48" s="15"/>
      <c r="N48" s="15">
        <f>N28/N8</f>
        <v>2294.549019607843</v>
      </c>
      <c r="P48" s="4" t="s">
        <v>11</v>
      </c>
      <c r="Q48" s="15"/>
      <c r="R48" s="15"/>
      <c r="S48" s="15"/>
      <c r="T48" s="15"/>
      <c r="U48" s="15"/>
      <c r="V48" s="71"/>
      <c r="W48" s="71"/>
      <c r="X48" s="71">
        <f>X28/X8</f>
        <v>1547.0091324200914</v>
      </c>
      <c r="Y48" s="71">
        <f>Y28/Y8</f>
        <v>1149.061224489796</v>
      </c>
      <c r="Z48" s="71"/>
      <c r="AA48" s="71"/>
      <c r="AB48" s="71"/>
      <c r="AC48" s="71">
        <f t="shared" si="10"/>
        <v>1423.9842271293376</v>
      </c>
    </row>
    <row r="49" spans="1:29" ht="12.75">
      <c r="A49" s="4" t="s">
        <v>12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P49" s="4" t="s">
        <v>12</v>
      </c>
      <c r="Q49" s="15"/>
      <c r="R49" s="15"/>
      <c r="S49" s="15"/>
      <c r="T49" s="15"/>
      <c r="U49" s="15"/>
      <c r="V49" s="71"/>
      <c r="W49" s="71"/>
      <c r="X49" s="71"/>
      <c r="Y49" s="71"/>
      <c r="Z49" s="71"/>
      <c r="AA49" s="71"/>
      <c r="AB49" s="71"/>
      <c r="AC49" s="71"/>
    </row>
    <row r="50" spans="1:29" ht="12.75">
      <c r="A50" s="4" t="s">
        <v>13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P50" s="4" t="s">
        <v>13</v>
      </c>
      <c r="Q50" s="15"/>
      <c r="R50" s="15"/>
      <c r="S50" s="15"/>
      <c r="T50" s="15"/>
      <c r="U50" s="15"/>
      <c r="V50" s="71"/>
      <c r="W50" s="71"/>
      <c r="X50" s="71"/>
      <c r="Y50" s="71"/>
      <c r="Z50" s="71"/>
      <c r="AA50" s="71"/>
      <c r="AB50" s="71"/>
      <c r="AC50" s="71"/>
    </row>
    <row r="51" spans="1:29" ht="12.75">
      <c r="A51" s="4" t="s">
        <v>14</v>
      </c>
      <c r="B51" s="15"/>
      <c r="C51" s="15"/>
      <c r="D51" s="15">
        <f>D31/D11</f>
        <v>1491.38</v>
      </c>
      <c r="E51" s="15">
        <f>E31/E11</f>
        <v>1792.888888888889</v>
      </c>
      <c r="F51" s="15"/>
      <c r="G51" s="15"/>
      <c r="H51" s="15"/>
      <c r="I51" s="15">
        <f>I31/I11</f>
        <v>1865.7111111111112</v>
      </c>
      <c r="J51" s="15">
        <f>J31/J11</f>
        <v>2374.4761904761904</v>
      </c>
      <c r="K51" s="15">
        <f>K31/K11</f>
        <v>2346.9333333333334</v>
      </c>
      <c r="L51" s="15">
        <f>L31/L11</f>
        <v>2891.582089552239</v>
      </c>
      <c r="M51" s="15"/>
      <c r="N51" s="15">
        <f>N31/N11</f>
        <v>2189.891891891892</v>
      </c>
      <c r="P51" s="4" t="s">
        <v>14</v>
      </c>
      <c r="Q51" s="15">
        <f>Q31/Q11</f>
        <v>1630.0475770925111</v>
      </c>
      <c r="R51" s="15">
        <f aca="true" t="shared" si="11" ref="R51:AB55">R31/R11</f>
        <v>1575.4465049928674</v>
      </c>
      <c r="S51" s="15">
        <f t="shared" si="11"/>
        <v>1652.468495811582</v>
      </c>
      <c r="T51" s="15">
        <f t="shared" si="11"/>
        <v>1693.0542350994713</v>
      </c>
      <c r="U51" s="15">
        <f t="shared" si="11"/>
        <v>1821.321797752809</v>
      </c>
      <c r="V51" s="71">
        <f t="shared" si="11"/>
        <v>1889.2203279031457</v>
      </c>
      <c r="W51" s="71">
        <f t="shared" si="11"/>
        <v>1965.3047504681267</v>
      </c>
      <c r="X51" s="71">
        <f t="shared" si="11"/>
        <v>1956.4353762917585</v>
      </c>
      <c r="Y51" s="71">
        <f t="shared" si="11"/>
        <v>1918.3709797360104</v>
      </c>
      <c r="Z51" s="71">
        <f t="shared" si="11"/>
        <v>1865.5033178226272</v>
      </c>
      <c r="AA51" s="71">
        <f t="shared" si="11"/>
        <v>1958.751797556719</v>
      </c>
      <c r="AB51" s="71">
        <f t="shared" si="11"/>
        <v>1980.380454726765</v>
      </c>
      <c r="AC51" s="71">
        <f t="shared" si="10"/>
        <v>1884.1581549271368</v>
      </c>
    </row>
    <row r="52" spans="1:29" ht="12.75">
      <c r="A52" s="4" t="s">
        <v>15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P52" s="4" t="s">
        <v>15</v>
      </c>
      <c r="Q52" s="15"/>
      <c r="R52" s="15"/>
      <c r="S52" s="15"/>
      <c r="T52" s="15"/>
      <c r="U52" s="15"/>
      <c r="V52" s="71"/>
      <c r="W52" s="71"/>
      <c r="X52" s="71"/>
      <c r="Y52" s="71"/>
      <c r="Z52" s="71"/>
      <c r="AA52" s="71"/>
      <c r="AB52" s="71"/>
      <c r="AC52" s="71"/>
    </row>
    <row r="53" spans="1:29" ht="12.75">
      <c r="A53" s="4" t="s">
        <v>16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P53" s="4" t="s">
        <v>16</v>
      </c>
      <c r="Q53" s="15"/>
      <c r="R53" s="15"/>
      <c r="S53" s="15"/>
      <c r="T53" s="15"/>
      <c r="U53" s="15"/>
      <c r="V53" s="71"/>
      <c r="W53" s="71"/>
      <c r="X53" s="71"/>
      <c r="Y53" s="71"/>
      <c r="Z53" s="71"/>
      <c r="AA53" s="71"/>
      <c r="AB53" s="71"/>
      <c r="AC53" s="71"/>
    </row>
    <row r="54" spans="1:29" ht="12.75">
      <c r="A54" s="4" t="s">
        <v>17</v>
      </c>
      <c r="B54" s="15">
        <f aca="true" t="shared" si="12" ref="B54:H55">B34/B14</f>
        <v>7320.5</v>
      </c>
      <c r="C54" s="15">
        <f t="shared" si="12"/>
        <v>7534.5</v>
      </c>
      <c r="D54" s="15">
        <f t="shared" si="12"/>
        <v>7969.3</v>
      </c>
      <c r="E54" s="15">
        <f t="shared" si="12"/>
        <v>8354.9</v>
      </c>
      <c r="F54" s="15">
        <f t="shared" si="12"/>
        <v>4297.25641025641</v>
      </c>
      <c r="G54" s="15">
        <f t="shared" si="12"/>
        <v>9786.4</v>
      </c>
      <c r="H54" s="15">
        <f t="shared" si="12"/>
        <v>8331.375</v>
      </c>
      <c r="I54" s="15"/>
      <c r="J54" s="15">
        <f aca="true" t="shared" si="13" ref="J54:N55">J34/J14</f>
        <v>9101.875</v>
      </c>
      <c r="K54" s="15">
        <f t="shared" si="13"/>
        <v>9787.25</v>
      </c>
      <c r="L54" s="15">
        <f t="shared" si="13"/>
        <v>9262.7</v>
      </c>
      <c r="M54" s="15">
        <f t="shared" si="13"/>
        <v>10317.24</v>
      </c>
      <c r="N54" s="15">
        <f t="shared" si="13"/>
        <v>7939.748466257669</v>
      </c>
      <c r="P54" s="4" t="s">
        <v>17</v>
      </c>
      <c r="Q54" s="15">
        <f>Q34/Q14</f>
        <v>1479.8638776541961</v>
      </c>
      <c r="R54" s="15">
        <f>R34/R14</f>
        <v>1575.3859117738427</v>
      </c>
      <c r="S54" s="15">
        <f>S34/S14</f>
        <v>1627.397226877952</v>
      </c>
      <c r="T54" s="15">
        <f>T34/T14</f>
        <v>1679.0695642175463</v>
      </c>
      <c r="U54" s="15">
        <f t="shared" si="11"/>
        <v>1761.9414361260435</v>
      </c>
      <c r="V54" s="71">
        <f t="shared" si="11"/>
        <v>1894.9112846489377</v>
      </c>
      <c r="W54" s="71">
        <f t="shared" si="11"/>
        <v>1939.5548525678578</v>
      </c>
      <c r="X54" s="71">
        <f t="shared" si="11"/>
        <v>1867.3507121741468</v>
      </c>
      <c r="Y54" s="71">
        <f t="shared" si="11"/>
        <v>1776.2042787413022</v>
      </c>
      <c r="Z54" s="71">
        <f t="shared" si="11"/>
        <v>1749.9299537515153</v>
      </c>
      <c r="AA54" s="71">
        <f t="shared" si="11"/>
        <v>1815.6101091326823</v>
      </c>
      <c r="AB54" s="71">
        <f t="shared" si="11"/>
        <v>1784.7687924016282</v>
      </c>
      <c r="AC54" s="71">
        <f t="shared" si="10"/>
        <v>1775.2041168520636</v>
      </c>
    </row>
    <row r="55" spans="1:29" ht="12.75">
      <c r="A55" s="4" t="s">
        <v>18</v>
      </c>
      <c r="B55" s="15">
        <f t="shared" si="12"/>
        <v>24486.5</v>
      </c>
      <c r="C55" s="15">
        <f t="shared" si="12"/>
        <v>13249.29411764706</v>
      </c>
      <c r="D55" s="15">
        <f t="shared" si="12"/>
        <v>22631.5</v>
      </c>
      <c r="E55" s="15">
        <f t="shared" si="12"/>
        <v>16017.35294117647</v>
      </c>
      <c r="F55" s="15">
        <f t="shared" si="12"/>
        <v>16006.42857142857</v>
      </c>
      <c r="G55" s="15">
        <f t="shared" si="12"/>
        <v>3218.967032967033</v>
      </c>
      <c r="H55" s="15">
        <f t="shared" si="12"/>
        <v>5656.466666666666</v>
      </c>
      <c r="I55" s="15">
        <f>I35/I15</f>
        <v>14982.64705882353</v>
      </c>
      <c r="J55" s="15">
        <f t="shared" si="13"/>
        <v>15778.041666666666</v>
      </c>
      <c r="K55" s="15">
        <f t="shared" si="13"/>
        <v>17095.275862068964</v>
      </c>
      <c r="L55" s="15">
        <f t="shared" si="13"/>
        <v>14594.709677419354</v>
      </c>
      <c r="M55" s="15">
        <f t="shared" si="13"/>
        <v>16817.590909090908</v>
      </c>
      <c r="N55" s="15">
        <f t="shared" si="13"/>
        <v>10572.361823361824</v>
      </c>
      <c r="P55" s="4" t="s">
        <v>18</v>
      </c>
      <c r="Q55" s="15">
        <f>Q35/Q15</f>
        <v>2964.714285714286</v>
      </c>
      <c r="R55" s="15">
        <f t="shared" si="11"/>
        <v>3425.3898305084745</v>
      </c>
      <c r="S55" s="15">
        <f t="shared" si="11"/>
        <v>3036.0476190476193</v>
      </c>
      <c r="T55" s="15">
        <f t="shared" si="11"/>
        <v>4465.170542635659</v>
      </c>
      <c r="U55" s="15">
        <f t="shared" si="11"/>
        <v>2864.0795454545455</v>
      </c>
      <c r="V55" s="71">
        <f t="shared" si="11"/>
        <v>4642.950819672131</v>
      </c>
      <c r="W55" s="71">
        <f t="shared" si="11"/>
        <v>5173.701754385965</v>
      </c>
      <c r="X55" s="71">
        <f t="shared" si="11"/>
        <v>9126.673469387755</v>
      </c>
      <c r="Y55" s="71">
        <f t="shared" si="11"/>
        <v>10229.65671641791</v>
      </c>
      <c r="Z55" s="71">
        <f t="shared" si="11"/>
        <v>17570.666666666668</v>
      </c>
      <c r="AA55" s="71">
        <f t="shared" si="11"/>
        <v>3053.0967741935483</v>
      </c>
      <c r="AB55" s="71">
        <f t="shared" si="11"/>
        <v>3892.655737704918</v>
      </c>
      <c r="AC55" s="71">
        <f t="shared" si="10"/>
        <v>4946.720489977728</v>
      </c>
    </row>
    <row r="56" spans="1:29" ht="12.75">
      <c r="A56" s="4" t="s">
        <v>19</v>
      </c>
      <c r="B56" s="15"/>
      <c r="C56" s="15">
        <v>15602.425</v>
      </c>
      <c r="D56" s="15"/>
      <c r="E56" s="15"/>
      <c r="F56" s="15"/>
      <c r="G56" s="15"/>
      <c r="H56" s="15"/>
      <c r="I56" s="15"/>
      <c r="J56" s="15">
        <f>J36/J16</f>
        <v>7887</v>
      </c>
      <c r="K56" s="15"/>
      <c r="L56" s="15"/>
      <c r="M56" s="15"/>
      <c r="N56" s="15">
        <f>N36/N16</f>
        <v>11210</v>
      </c>
      <c r="P56" s="4" t="s">
        <v>19</v>
      </c>
      <c r="Q56" s="15"/>
      <c r="R56" s="15"/>
      <c r="S56" s="15">
        <v>11026.327</v>
      </c>
      <c r="T56" s="15"/>
      <c r="U56" s="15">
        <v>8350.368</v>
      </c>
      <c r="V56" s="71">
        <v>13619.426</v>
      </c>
      <c r="W56" s="71">
        <v>8970.294</v>
      </c>
      <c r="X56" s="71"/>
      <c r="Y56" s="71">
        <f>Y36/Y16</f>
        <v>8087</v>
      </c>
      <c r="Z56" s="71"/>
      <c r="AA56" s="71"/>
      <c r="AB56" s="71"/>
      <c r="AC56" s="71">
        <f t="shared" si="10"/>
        <v>8720.125</v>
      </c>
    </row>
    <row r="57" spans="1:29" ht="12.75">
      <c r="A57" s="11" t="s">
        <v>47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P57" s="11" t="s">
        <v>49</v>
      </c>
      <c r="Q57" s="16"/>
      <c r="R57" s="16"/>
      <c r="S57" s="16"/>
      <c r="T57" s="16"/>
      <c r="U57" s="16"/>
      <c r="V57" s="72"/>
      <c r="W57" s="72"/>
      <c r="X57" s="72"/>
      <c r="Y57" s="72"/>
      <c r="Z57" s="72"/>
      <c r="AA57" s="72"/>
      <c r="AB57" s="72"/>
      <c r="AC57" s="73"/>
    </row>
    <row r="58" spans="1:29" ht="12.75">
      <c r="A58" s="1" t="s">
        <v>20</v>
      </c>
      <c r="B58" s="17">
        <f>B38/B18</f>
        <v>2249.8067104303427</v>
      </c>
      <c r="C58" s="17">
        <f aca="true" t="shared" si="14" ref="C58:N58">C38/C18</f>
        <v>2536.4609120521172</v>
      </c>
      <c r="D58" s="17">
        <f t="shared" si="14"/>
        <v>1992.115204286671</v>
      </c>
      <c r="E58" s="17">
        <f t="shared" si="14"/>
        <v>2496.0651933701656</v>
      </c>
      <c r="F58" s="17">
        <f t="shared" si="14"/>
        <v>2443.31157635468</v>
      </c>
      <c r="G58" s="17">
        <f t="shared" si="14"/>
        <v>2484.780068728522</v>
      </c>
      <c r="H58" s="17">
        <f t="shared" si="14"/>
        <v>2468.1788154897495</v>
      </c>
      <c r="I58" s="17">
        <f t="shared" si="14"/>
        <v>2628.820492454329</v>
      </c>
      <c r="J58" s="17">
        <f t="shared" si="14"/>
        <v>2468.520455722424</v>
      </c>
      <c r="K58" s="17">
        <f t="shared" si="14"/>
        <v>2374.6583769633507</v>
      </c>
      <c r="L58" s="17">
        <f t="shared" si="14"/>
        <v>2384.396733212341</v>
      </c>
      <c r="M58" s="17">
        <f t="shared" si="14"/>
        <v>25047.972694487376</v>
      </c>
      <c r="N58" s="17">
        <f t="shared" si="14"/>
        <v>4202.9429670107265</v>
      </c>
      <c r="P58" s="1" t="s">
        <v>20</v>
      </c>
      <c r="Q58" s="17">
        <f>Q38/Q18</f>
        <v>1642.3103874690848</v>
      </c>
      <c r="R58" s="17">
        <f aca="true" t="shared" si="15" ref="R58:AB58">R38/R18</f>
        <v>1648.0476797088263</v>
      </c>
      <c r="S58" s="17">
        <f t="shared" si="15"/>
        <v>1756.2749464815965</v>
      </c>
      <c r="T58" s="17">
        <f t="shared" si="15"/>
        <v>1744.55000819135</v>
      </c>
      <c r="U58" s="17">
        <f t="shared" si="15"/>
        <v>1826.452912591499</v>
      </c>
      <c r="V58" s="74">
        <f t="shared" si="15"/>
        <v>1912.4272486063464</v>
      </c>
      <c r="W58" s="74">
        <f t="shared" si="15"/>
        <v>1968.5753467371783</v>
      </c>
      <c r="X58" s="74">
        <f t="shared" si="15"/>
        <v>1951.175855680156</v>
      </c>
      <c r="Y58" s="74">
        <f t="shared" si="15"/>
        <v>1899.432505399568</v>
      </c>
      <c r="Z58" s="74">
        <f t="shared" si="15"/>
        <v>1842.4866561519123</v>
      </c>
      <c r="AA58" s="74">
        <f t="shared" si="15"/>
        <v>1878.3310169397798</v>
      </c>
      <c r="AB58" s="74">
        <f t="shared" si="15"/>
        <v>1889.5750242460629</v>
      </c>
      <c r="AC58" s="74">
        <f t="shared" si="10"/>
        <v>1864.045257228472</v>
      </c>
    </row>
    <row r="59" spans="1:16" ht="12.75">
      <c r="A59" s="5" t="s">
        <v>24</v>
      </c>
      <c r="P59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N28" sqref="N28"/>
    </sheetView>
  </sheetViews>
  <sheetFormatPr defaultColWidth="11.421875" defaultRowHeight="12.75"/>
  <cols>
    <col min="1" max="1" width="20.57421875" style="0" bestFit="1" customWidth="1"/>
    <col min="2" max="13" width="10.7109375" style="0" customWidth="1"/>
  </cols>
  <sheetData>
    <row r="1" ht="12.75">
      <c r="A1" t="s">
        <v>52</v>
      </c>
    </row>
    <row r="2" ht="12.75">
      <c r="A2" t="s">
        <v>23</v>
      </c>
    </row>
    <row r="3" spans="1:14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</row>
    <row r="4" spans="1:14" ht="12.75">
      <c r="A4" s="4" t="s">
        <v>11</v>
      </c>
      <c r="B4" s="8"/>
      <c r="C4" s="8"/>
      <c r="D4" s="8"/>
      <c r="E4" s="8"/>
      <c r="F4" s="8">
        <v>151</v>
      </c>
      <c r="G4" s="8"/>
      <c r="H4" s="8"/>
      <c r="I4" s="8"/>
      <c r="J4" s="8"/>
      <c r="K4" s="8"/>
      <c r="L4" s="8">
        <v>403</v>
      </c>
      <c r="M4" s="8">
        <v>100</v>
      </c>
      <c r="N4" s="8">
        <f>SUM(B4:M4)</f>
        <v>654</v>
      </c>
    </row>
    <row r="5" spans="1:14" ht="12.75">
      <c r="A5" s="4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4" t="s">
        <v>14</v>
      </c>
      <c r="B6" s="8">
        <v>11893</v>
      </c>
      <c r="C6" s="8">
        <v>12754</v>
      </c>
      <c r="D6" s="8">
        <v>12917</v>
      </c>
      <c r="E6" s="8">
        <v>11030</v>
      </c>
      <c r="F6" s="8">
        <v>11641</v>
      </c>
      <c r="G6" s="8">
        <v>14797</v>
      </c>
      <c r="H6" s="8">
        <v>20983</v>
      </c>
      <c r="I6" s="8">
        <v>17567</v>
      </c>
      <c r="J6" s="8">
        <v>7163</v>
      </c>
      <c r="K6" s="8">
        <v>3064</v>
      </c>
      <c r="L6" s="8">
        <v>7028</v>
      </c>
      <c r="M6" s="8">
        <v>15464</v>
      </c>
      <c r="N6" s="8">
        <f>SUM(B6:M6)</f>
        <v>146301</v>
      </c>
    </row>
    <row r="7" spans="1:14" ht="12.75">
      <c r="A7" s="4" t="s">
        <v>17</v>
      </c>
      <c r="B7" s="8">
        <v>1823</v>
      </c>
      <c r="C7" s="8">
        <v>775</v>
      </c>
      <c r="D7" s="8">
        <v>401</v>
      </c>
      <c r="E7" s="8">
        <v>291</v>
      </c>
      <c r="F7" s="8">
        <v>160</v>
      </c>
      <c r="G7" s="8">
        <v>254</v>
      </c>
      <c r="H7" s="8">
        <v>493</v>
      </c>
      <c r="I7" s="8">
        <v>457</v>
      </c>
      <c r="J7" s="8">
        <v>207</v>
      </c>
      <c r="K7" s="8">
        <v>90</v>
      </c>
      <c r="L7" s="8">
        <v>359</v>
      </c>
      <c r="M7" s="8">
        <v>75</v>
      </c>
      <c r="N7" s="8">
        <f>SUM(B7:M7)</f>
        <v>5385</v>
      </c>
    </row>
    <row r="8" spans="1:14" ht="12.75">
      <c r="A8" s="4" t="s">
        <v>18</v>
      </c>
      <c r="B8" s="8"/>
      <c r="C8" s="8"/>
      <c r="D8" s="8"/>
      <c r="E8" s="8"/>
      <c r="F8" s="8">
        <v>4</v>
      </c>
      <c r="G8" s="8">
        <v>15</v>
      </c>
      <c r="H8" s="8">
        <v>12</v>
      </c>
      <c r="I8" s="8"/>
      <c r="J8" s="8"/>
      <c r="K8" s="8"/>
      <c r="L8" s="8"/>
      <c r="M8" s="8"/>
      <c r="N8" s="8">
        <f>SUM(B8:M8)</f>
        <v>31</v>
      </c>
    </row>
    <row r="9" spans="1:14" ht="12.75">
      <c r="A9" s="4" t="s">
        <v>19</v>
      </c>
      <c r="B9" s="8"/>
      <c r="C9" s="20"/>
      <c r="D9" s="8"/>
      <c r="E9" s="8"/>
      <c r="F9" s="8">
        <f>F21/F33</f>
        <v>1.2020422892720597</v>
      </c>
      <c r="G9" s="8"/>
      <c r="H9" s="8"/>
      <c r="I9" s="8"/>
      <c r="J9" s="8"/>
      <c r="K9" s="8"/>
      <c r="L9" s="8"/>
      <c r="M9" s="8"/>
      <c r="N9" s="8">
        <f>SUM(B9:M9)</f>
        <v>654</v>
      </c>
    </row>
    <row r="10" spans="1:14" ht="12.75">
      <c r="A10" s="1" t="s">
        <v>20</v>
      </c>
      <c r="B10" s="10">
        <f aca="true" t="shared" si="0" ref="B10:M10">SUM(B4:B9)</f>
        <v>13716</v>
      </c>
      <c r="C10" s="10">
        <f t="shared" si="0"/>
        <v>13529</v>
      </c>
      <c r="D10" s="10">
        <f t="shared" si="0"/>
        <v>13318</v>
      </c>
      <c r="E10" s="10">
        <f t="shared" si="0"/>
        <v>11321</v>
      </c>
      <c r="F10" s="10">
        <f t="shared" si="0"/>
        <v>11957.202042289273</v>
      </c>
      <c r="G10" s="10">
        <f t="shared" si="0"/>
        <v>15066</v>
      </c>
      <c r="H10" s="10">
        <f t="shared" si="0"/>
        <v>21488</v>
      </c>
      <c r="I10" s="10">
        <f t="shared" si="0"/>
        <v>18024</v>
      </c>
      <c r="J10" s="10">
        <f t="shared" si="0"/>
        <v>7370</v>
      </c>
      <c r="K10" s="10">
        <f t="shared" si="0"/>
        <v>3154</v>
      </c>
      <c r="L10" s="10">
        <f t="shared" si="0"/>
        <v>7790</v>
      </c>
      <c r="M10" s="10">
        <f t="shared" si="0"/>
        <v>15639</v>
      </c>
      <c r="N10" s="10">
        <f>SUM(B10:M10)</f>
        <v>654</v>
      </c>
    </row>
    <row r="11" ht="12.75">
      <c r="A11" s="5" t="s">
        <v>24</v>
      </c>
    </row>
    <row r="13" ht="12.75">
      <c r="A13" t="s">
        <v>52</v>
      </c>
    </row>
    <row r="14" ht="12.75">
      <c r="A14" t="s">
        <v>31</v>
      </c>
    </row>
    <row r="15" spans="1:14" ht="12.75">
      <c r="A15" s="1" t="s">
        <v>21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  <c r="K15" s="2" t="s">
        <v>28</v>
      </c>
      <c r="L15" s="2" t="s">
        <v>29</v>
      </c>
      <c r="M15" s="2" t="s">
        <v>30</v>
      </c>
      <c r="N15" s="6" t="s">
        <v>25</v>
      </c>
    </row>
    <row r="16" spans="1:14" ht="12.75">
      <c r="A16" s="4" t="s">
        <v>11</v>
      </c>
      <c r="B16" s="8"/>
      <c r="C16" s="8"/>
      <c r="D16" s="8"/>
      <c r="E16" s="8"/>
      <c r="F16" s="8">
        <v>470854</v>
      </c>
      <c r="G16" s="8"/>
      <c r="H16" s="8"/>
      <c r="I16" s="8"/>
      <c r="J16" s="8"/>
      <c r="K16" s="8"/>
      <c r="L16" s="8">
        <v>699988</v>
      </c>
      <c r="M16" s="8">
        <v>152050</v>
      </c>
      <c r="N16" s="8">
        <f>SUM(B16:M16)</f>
        <v>1322892</v>
      </c>
    </row>
    <row r="17" spans="1:14" ht="12.75">
      <c r="A17" s="4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4" t="s">
        <v>14</v>
      </c>
      <c r="B18" s="8">
        <v>17933536</v>
      </c>
      <c r="C18" s="8">
        <v>19745237</v>
      </c>
      <c r="D18" s="8">
        <v>19608889</v>
      </c>
      <c r="E18" s="8">
        <v>17133890</v>
      </c>
      <c r="F18" s="8">
        <v>19225032</v>
      </c>
      <c r="G18" s="8">
        <v>26036017</v>
      </c>
      <c r="H18" s="8">
        <v>39226248</v>
      </c>
      <c r="I18" s="8">
        <v>33257992</v>
      </c>
      <c r="J18" s="8">
        <v>12775871</v>
      </c>
      <c r="K18" s="8">
        <v>5282182</v>
      </c>
      <c r="L18" s="8">
        <v>13368179</v>
      </c>
      <c r="M18" s="8">
        <v>28900003</v>
      </c>
      <c r="N18" s="8">
        <f>SUM(B18:M18)</f>
        <v>252493076</v>
      </c>
    </row>
    <row r="19" spans="1:14" ht="12.75">
      <c r="A19" s="4" t="s">
        <v>17</v>
      </c>
      <c r="B19" s="8">
        <v>3067594</v>
      </c>
      <c r="C19" s="8">
        <v>1335068</v>
      </c>
      <c r="D19" s="8">
        <v>801667</v>
      </c>
      <c r="E19" s="8">
        <v>631116</v>
      </c>
      <c r="F19" s="8">
        <v>307167</v>
      </c>
      <c r="G19" s="8">
        <v>557369</v>
      </c>
      <c r="H19" s="8">
        <v>1253180</v>
      </c>
      <c r="I19" s="8">
        <v>1138989</v>
      </c>
      <c r="J19" s="8">
        <v>440093</v>
      </c>
      <c r="K19" s="8">
        <v>193187</v>
      </c>
      <c r="L19" s="8">
        <v>854744</v>
      </c>
      <c r="M19" s="8">
        <v>144299</v>
      </c>
      <c r="N19" s="8">
        <f>SUM(B19:M19)</f>
        <v>10724473</v>
      </c>
    </row>
    <row r="20" spans="1:14" ht="12.75">
      <c r="A20" s="4" t="s">
        <v>18</v>
      </c>
      <c r="B20" s="8"/>
      <c r="C20" s="8"/>
      <c r="D20" s="8"/>
      <c r="E20" s="8"/>
      <c r="F20" s="8">
        <v>15925</v>
      </c>
      <c r="G20" s="8">
        <v>258434</v>
      </c>
      <c r="H20" s="8">
        <v>114279</v>
      </c>
      <c r="I20" s="8"/>
      <c r="J20" s="8">
        <v>79395</v>
      </c>
      <c r="K20" s="8"/>
      <c r="L20" s="8"/>
      <c r="M20" s="8">
        <v>144904</v>
      </c>
      <c r="N20" s="8">
        <f>SUM(B20:M20)</f>
        <v>612937</v>
      </c>
    </row>
    <row r="21" spans="1:14" ht="12.75">
      <c r="A21" s="4" t="s">
        <v>19</v>
      </c>
      <c r="B21" s="8"/>
      <c r="C21" s="8"/>
      <c r="D21" s="8"/>
      <c r="E21" s="8"/>
      <c r="F21" s="8">
        <v>13925</v>
      </c>
      <c r="G21" s="8"/>
      <c r="H21" s="8"/>
      <c r="I21" s="8"/>
      <c r="J21" s="8"/>
      <c r="K21" s="8"/>
      <c r="L21" s="8"/>
      <c r="M21" s="8"/>
      <c r="N21" s="8">
        <f>SUM(B21:M21)</f>
        <v>13925</v>
      </c>
    </row>
    <row r="22" spans="1:14" ht="12.75">
      <c r="A22" s="1" t="s">
        <v>20</v>
      </c>
      <c r="B22" s="10">
        <f aca="true" t="shared" si="1" ref="B22:M22">SUM(B16:B21)</f>
        <v>21001130</v>
      </c>
      <c r="C22" s="10">
        <f t="shared" si="1"/>
        <v>21080305</v>
      </c>
      <c r="D22" s="10">
        <f t="shared" si="1"/>
        <v>20410556</v>
      </c>
      <c r="E22" s="10">
        <f t="shared" si="1"/>
        <v>17765006</v>
      </c>
      <c r="F22" s="10">
        <f t="shared" si="1"/>
        <v>20032903</v>
      </c>
      <c r="G22" s="10">
        <f t="shared" si="1"/>
        <v>26851820</v>
      </c>
      <c r="H22" s="10">
        <f t="shared" si="1"/>
        <v>40593707</v>
      </c>
      <c r="I22" s="10">
        <f t="shared" si="1"/>
        <v>34396981</v>
      </c>
      <c r="J22" s="10">
        <f t="shared" si="1"/>
        <v>13295359</v>
      </c>
      <c r="K22" s="10">
        <f t="shared" si="1"/>
        <v>5475369</v>
      </c>
      <c r="L22" s="10">
        <f t="shared" si="1"/>
        <v>14922911</v>
      </c>
      <c r="M22" s="10">
        <f t="shared" si="1"/>
        <v>29341256</v>
      </c>
      <c r="N22" s="10">
        <f>SUM(B22:M22)</f>
        <v>265167303</v>
      </c>
    </row>
    <row r="23" ht="12.75">
      <c r="A23" s="5" t="s">
        <v>24</v>
      </c>
    </row>
    <row r="25" ht="12.75">
      <c r="A25" t="s">
        <v>52</v>
      </c>
    </row>
    <row r="26" ht="12.75">
      <c r="A26" t="s">
        <v>32</v>
      </c>
    </row>
    <row r="27" spans="1:14" ht="12.75">
      <c r="A27" s="1" t="s">
        <v>21</v>
      </c>
      <c r="B27" s="2" t="s">
        <v>0</v>
      </c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2" t="s">
        <v>8</v>
      </c>
      <c r="K27" s="2" t="s">
        <v>28</v>
      </c>
      <c r="L27" s="2" t="s">
        <v>29</v>
      </c>
      <c r="M27" s="2" t="s">
        <v>30</v>
      </c>
      <c r="N27" s="6" t="s">
        <v>25</v>
      </c>
    </row>
    <row r="28" spans="1:14" ht="12.75">
      <c r="A28" s="4" t="s">
        <v>11</v>
      </c>
      <c r="B28" s="15"/>
      <c r="C28" s="15"/>
      <c r="D28" s="15"/>
      <c r="E28" s="15"/>
      <c r="F28" s="15">
        <f>F16/F4</f>
        <v>3118.2384105960264</v>
      </c>
      <c r="G28" s="15"/>
      <c r="H28" s="15"/>
      <c r="I28" s="15"/>
      <c r="J28" s="15"/>
      <c r="K28" s="15"/>
      <c r="L28" s="15">
        <f>L16/L4</f>
        <v>1736.9429280397023</v>
      </c>
      <c r="M28" s="15">
        <f>M16/M4</f>
        <v>1520.5</v>
      </c>
      <c r="N28" s="15">
        <f>N16/N4</f>
        <v>2022.7706422018348</v>
      </c>
    </row>
    <row r="29" spans="1:14" ht="12.75">
      <c r="A29" s="4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4" t="s">
        <v>14</v>
      </c>
      <c r="B30" s="15">
        <f aca="true" t="shared" si="2" ref="B30:N30">B18/B6</f>
        <v>1507.9068359539224</v>
      </c>
      <c r="C30" s="15">
        <f t="shared" si="2"/>
        <v>1548.1603418535362</v>
      </c>
      <c r="D30" s="15">
        <f t="shared" si="2"/>
        <v>1518.0683595262058</v>
      </c>
      <c r="E30" s="15">
        <f t="shared" si="2"/>
        <v>1553.3898458748868</v>
      </c>
      <c r="F30" s="15">
        <f t="shared" si="2"/>
        <v>1651.4931706898033</v>
      </c>
      <c r="G30" s="15">
        <f t="shared" si="2"/>
        <v>1759.547002770832</v>
      </c>
      <c r="H30" s="15">
        <f t="shared" si="2"/>
        <v>1869.4299194586094</v>
      </c>
      <c r="I30" s="15">
        <f t="shared" si="2"/>
        <v>1893.208402117607</v>
      </c>
      <c r="J30" s="15">
        <f t="shared" si="2"/>
        <v>1783.5922099678905</v>
      </c>
      <c r="K30" s="15">
        <f t="shared" si="2"/>
        <v>1723.9497389033943</v>
      </c>
      <c r="L30" s="15">
        <f t="shared" si="2"/>
        <v>1902.1313318155949</v>
      </c>
      <c r="M30" s="15">
        <f t="shared" si="2"/>
        <v>1868.8568934299017</v>
      </c>
      <c r="N30" s="15">
        <f t="shared" si="2"/>
        <v>1725.8465492375308</v>
      </c>
    </row>
    <row r="31" spans="1:14" ht="12.75">
      <c r="A31" s="4" t="s">
        <v>17</v>
      </c>
      <c r="B31" s="15">
        <f aca="true" t="shared" si="3" ref="B31:N31">B19/B7</f>
        <v>1682.717498628634</v>
      </c>
      <c r="C31" s="15">
        <f t="shared" si="3"/>
        <v>1722.6683870967743</v>
      </c>
      <c r="D31" s="15">
        <f t="shared" si="3"/>
        <v>1999.1695760598504</v>
      </c>
      <c r="E31" s="15">
        <f t="shared" si="3"/>
        <v>2168.783505154639</v>
      </c>
      <c r="F31" s="15">
        <f t="shared" si="3"/>
        <v>1919.79375</v>
      </c>
      <c r="G31" s="15">
        <f t="shared" si="3"/>
        <v>2194.3661417322833</v>
      </c>
      <c r="H31" s="15">
        <f t="shared" si="3"/>
        <v>2541.947261663286</v>
      </c>
      <c r="I31" s="15">
        <f t="shared" si="3"/>
        <v>2492.3172866520786</v>
      </c>
      <c r="J31" s="15">
        <f t="shared" si="3"/>
        <v>2126.0531400966183</v>
      </c>
      <c r="K31" s="15">
        <f t="shared" si="3"/>
        <v>2146.5222222222224</v>
      </c>
      <c r="L31" s="15">
        <f t="shared" si="3"/>
        <v>2380.9025069637883</v>
      </c>
      <c r="M31" s="15">
        <f t="shared" si="3"/>
        <v>1923.9866666666667</v>
      </c>
      <c r="N31" s="15">
        <f t="shared" si="3"/>
        <v>1991.545589600743</v>
      </c>
    </row>
    <row r="32" spans="1:14" ht="12.75">
      <c r="A32" s="4" t="s">
        <v>18</v>
      </c>
      <c r="B32" s="15"/>
      <c r="C32" s="15"/>
      <c r="D32" s="15"/>
      <c r="E32" s="15"/>
      <c r="F32" s="15">
        <f>F20/F8</f>
        <v>3981.25</v>
      </c>
      <c r="G32" s="15">
        <f>G20/G8</f>
        <v>17228.933333333334</v>
      </c>
      <c r="H32" s="15">
        <f>H20/H8</f>
        <v>9523.25</v>
      </c>
      <c r="I32" s="15"/>
      <c r="J32" s="15"/>
      <c r="K32" s="15"/>
      <c r="L32" s="15"/>
      <c r="M32" s="15"/>
      <c r="N32" s="15">
        <f>N20/N8</f>
        <v>19772.16129032258</v>
      </c>
    </row>
    <row r="33" spans="1:14" ht="12.75">
      <c r="A33" s="4" t="s">
        <v>19</v>
      </c>
      <c r="B33" s="15"/>
      <c r="C33" s="15"/>
      <c r="D33" s="15"/>
      <c r="E33" s="15"/>
      <c r="F33" s="15">
        <f>F21/F9</f>
        <v>3118.2384105960264</v>
      </c>
      <c r="G33" s="15"/>
      <c r="H33" s="15"/>
      <c r="I33" s="15"/>
      <c r="J33" s="15"/>
      <c r="K33" s="15"/>
      <c r="L33" s="15"/>
      <c r="M33" s="15"/>
      <c r="N33" s="15">
        <f>N21/N9</f>
        <v>3118.2384105960264</v>
      </c>
    </row>
    <row r="34" spans="1:14" ht="12.75">
      <c r="A34" s="1" t="s">
        <v>20</v>
      </c>
      <c r="B34" s="17">
        <f aca="true" t="shared" si="4" ref="B34:N34">B22/B10</f>
        <v>1531.1410032079323</v>
      </c>
      <c r="C34" s="17">
        <f t="shared" si="4"/>
        <v>1558.1569221671964</v>
      </c>
      <c r="D34" s="17">
        <f t="shared" si="4"/>
        <v>1532.5541372578466</v>
      </c>
      <c r="E34" s="17">
        <f t="shared" si="4"/>
        <v>1569.2081971557284</v>
      </c>
      <c r="F34" s="17">
        <f t="shared" si="4"/>
        <v>3118.2384105960264</v>
      </c>
      <c r="G34" s="17">
        <f t="shared" si="4"/>
        <v>1782.2793043939998</v>
      </c>
      <c r="H34" s="17">
        <f t="shared" si="4"/>
        <v>1889.1337956068503</v>
      </c>
      <c r="I34" s="17">
        <f t="shared" si="4"/>
        <v>1908.3988570794497</v>
      </c>
      <c r="J34" s="17">
        <f t="shared" si="4"/>
        <v>1803.9835820895523</v>
      </c>
      <c r="K34" s="17">
        <f t="shared" si="4"/>
        <v>1736.0079264426126</v>
      </c>
      <c r="L34" s="17">
        <f t="shared" si="4"/>
        <v>1915.649679075738</v>
      </c>
      <c r="M34" s="17">
        <f t="shared" si="4"/>
        <v>1876.1593452266768</v>
      </c>
      <c r="N34" s="17">
        <f t="shared" si="4"/>
        <v>3118.2384105960264</v>
      </c>
    </row>
    <row r="35" ht="12.75">
      <c r="A35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N31" sqref="N31"/>
    </sheetView>
  </sheetViews>
  <sheetFormatPr defaultColWidth="11.421875" defaultRowHeight="12.75"/>
  <cols>
    <col min="1" max="1" width="20.57421875" style="0" bestFit="1" customWidth="1"/>
    <col min="2" max="13" width="10.7109375" style="0" customWidth="1"/>
  </cols>
  <sheetData>
    <row r="1" ht="12.75">
      <c r="A1" t="s">
        <v>53</v>
      </c>
    </row>
    <row r="2" ht="12.75">
      <c r="A2" t="s">
        <v>23</v>
      </c>
    </row>
    <row r="3" spans="1:14" ht="12.75">
      <c r="A3" s="1" t="s">
        <v>21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28</v>
      </c>
      <c r="L3" s="2" t="s">
        <v>29</v>
      </c>
      <c r="M3" s="2" t="s">
        <v>30</v>
      </c>
      <c r="N3" s="6" t="s">
        <v>25</v>
      </c>
    </row>
    <row r="4" spans="1:14" ht="12.75">
      <c r="A4" s="4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 t="s">
        <v>96</v>
      </c>
    </row>
    <row r="5" spans="1:14" ht="12.75">
      <c r="A5" s="4" t="s">
        <v>9</v>
      </c>
      <c r="B5" s="8">
        <v>8</v>
      </c>
      <c r="C5" s="8">
        <v>22</v>
      </c>
      <c r="D5" s="8">
        <v>22</v>
      </c>
      <c r="E5" s="8"/>
      <c r="F5" s="8">
        <v>17</v>
      </c>
      <c r="G5" s="8">
        <v>3</v>
      </c>
      <c r="H5" s="8">
        <v>26</v>
      </c>
      <c r="I5" s="8"/>
      <c r="J5" s="8">
        <v>21</v>
      </c>
      <c r="K5" s="8"/>
      <c r="L5" s="8">
        <v>54</v>
      </c>
      <c r="M5" s="8"/>
      <c r="N5" s="8">
        <f aca="true" t="shared" si="0" ref="N5:N10">SUM(B5:M5)</f>
        <v>173</v>
      </c>
    </row>
    <row r="6" spans="1:14" ht="12.75">
      <c r="A6" s="4" t="s">
        <v>14</v>
      </c>
      <c r="B6" s="8">
        <v>1890</v>
      </c>
      <c r="C6" s="8">
        <v>1890</v>
      </c>
      <c r="D6" s="8">
        <v>3152</v>
      </c>
      <c r="E6" s="8">
        <v>3814</v>
      </c>
      <c r="F6" s="8">
        <v>7539</v>
      </c>
      <c r="G6" s="8">
        <v>8894</v>
      </c>
      <c r="H6" s="8">
        <v>6990</v>
      </c>
      <c r="I6" s="8">
        <v>4332</v>
      </c>
      <c r="J6" s="8">
        <v>2697</v>
      </c>
      <c r="K6" s="8">
        <v>149</v>
      </c>
      <c r="L6" s="8">
        <v>50</v>
      </c>
      <c r="M6" s="8">
        <v>200</v>
      </c>
      <c r="N6" s="8">
        <f t="shared" si="0"/>
        <v>41597</v>
      </c>
    </row>
    <row r="7" spans="1:14" ht="12.75">
      <c r="A7" s="4" t="s">
        <v>17</v>
      </c>
      <c r="B7" s="8">
        <v>1501</v>
      </c>
      <c r="C7" s="8">
        <v>481</v>
      </c>
      <c r="D7" s="8">
        <v>230</v>
      </c>
      <c r="E7" s="8">
        <v>811</v>
      </c>
      <c r="F7" s="8">
        <v>1530</v>
      </c>
      <c r="G7" s="8">
        <v>2132</v>
      </c>
      <c r="H7" s="8">
        <v>2706</v>
      </c>
      <c r="I7" s="8">
        <v>866</v>
      </c>
      <c r="J7" s="8">
        <v>853</v>
      </c>
      <c r="K7" s="8">
        <v>1203</v>
      </c>
      <c r="L7" s="8">
        <v>982</v>
      </c>
      <c r="M7" s="8">
        <v>2025</v>
      </c>
      <c r="N7" s="8">
        <f t="shared" si="0"/>
        <v>15320</v>
      </c>
    </row>
    <row r="8" spans="1:14" ht="12.75">
      <c r="A8" s="4" t="s">
        <v>18</v>
      </c>
      <c r="B8" s="8"/>
      <c r="C8" s="8"/>
      <c r="D8" s="8">
        <v>130</v>
      </c>
      <c r="E8" s="8">
        <v>104</v>
      </c>
      <c r="F8" s="8"/>
      <c r="G8" s="8"/>
      <c r="H8" s="8"/>
      <c r="I8" s="8"/>
      <c r="J8" s="8"/>
      <c r="K8" s="8"/>
      <c r="L8" s="8"/>
      <c r="M8" s="8"/>
      <c r="N8" s="8">
        <f t="shared" si="0"/>
        <v>234</v>
      </c>
    </row>
    <row r="9" spans="1:14" ht="12.75">
      <c r="A9" s="4" t="s">
        <v>19</v>
      </c>
      <c r="B9" s="8"/>
      <c r="C9" s="20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" t="s">
        <v>20</v>
      </c>
      <c r="B10" s="10">
        <f aca="true" t="shared" si="1" ref="B10:M10">SUM(B4:B9)</f>
        <v>3399</v>
      </c>
      <c r="C10" s="10">
        <f t="shared" si="1"/>
        <v>2393</v>
      </c>
      <c r="D10" s="10">
        <f t="shared" si="1"/>
        <v>3534</v>
      </c>
      <c r="E10" s="10">
        <f t="shared" si="1"/>
        <v>4729</v>
      </c>
      <c r="F10" s="10">
        <f t="shared" si="1"/>
        <v>9086</v>
      </c>
      <c r="G10" s="10">
        <f t="shared" si="1"/>
        <v>11029</v>
      </c>
      <c r="H10" s="10">
        <f t="shared" si="1"/>
        <v>9722</v>
      </c>
      <c r="I10" s="10">
        <f t="shared" si="1"/>
        <v>5198</v>
      </c>
      <c r="J10" s="10">
        <f t="shared" si="1"/>
        <v>3571</v>
      </c>
      <c r="K10" s="10">
        <f t="shared" si="1"/>
        <v>1352</v>
      </c>
      <c r="L10" s="10">
        <f t="shared" si="1"/>
        <v>1086</v>
      </c>
      <c r="M10" s="10">
        <f t="shared" si="1"/>
        <v>2225</v>
      </c>
      <c r="N10" s="10">
        <f t="shared" si="0"/>
        <v>57324</v>
      </c>
    </row>
    <row r="11" ht="12.75">
      <c r="A11" s="5" t="s">
        <v>24</v>
      </c>
    </row>
    <row r="13" ht="12.75">
      <c r="A13" t="s">
        <v>53</v>
      </c>
    </row>
    <row r="14" ht="12.75">
      <c r="A14" t="s">
        <v>31</v>
      </c>
    </row>
    <row r="15" spans="1:14" ht="12.75">
      <c r="A15" s="1" t="s">
        <v>21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  <c r="J15" s="2" t="s">
        <v>8</v>
      </c>
      <c r="K15" s="2" t="s">
        <v>28</v>
      </c>
      <c r="L15" s="2" t="s">
        <v>29</v>
      </c>
      <c r="M15" s="2" t="s">
        <v>30</v>
      </c>
      <c r="N15" s="6" t="s">
        <v>25</v>
      </c>
    </row>
    <row r="16" spans="1:14" ht="12.75">
      <c r="A16" s="4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4" t="s">
        <v>9</v>
      </c>
      <c r="B17" s="8">
        <v>19640</v>
      </c>
      <c r="C17" s="8">
        <v>31308</v>
      </c>
      <c r="D17" s="8">
        <v>51257</v>
      </c>
      <c r="E17" s="8"/>
      <c r="F17" s="8">
        <v>23356</v>
      </c>
      <c r="G17" s="8">
        <v>3825</v>
      </c>
      <c r="H17" s="8">
        <v>46801</v>
      </c>
      <c r="I17" s="8"/>
      <c r="J17" s="8">
        <v>29131</v>
      </c>
      <c r="K17" s="8"/>
      <c r="L17" s="8">
        <v>88538</v>
      </c>
      <c r="M17" s="8"/>
      <c r="N17" s="8">
        <f>SUM(B17:M17)</f>
        <v>293856</v>
      </c>
    </row>
    <row r="18" spans="1:14" ht="12.75">
      <c r="A18" s="4" t="s">
        <v>14</v>
      </c>
      <c r="B18" s="8">
        <v>3035376</v>
      </c>
      <c r="C18" s="8">
        <v>2987578</v>
      </c>
      <c r="D18" s="8">
        <v>5111623</v>
      </c>
      <c r="E18" s="8">
        <v>6495288</v>
      </c>
      <c r="F18" s="8">
        <v>13029440</v>
      </c>
      <c r="G18" s="8">
        <v>16230162</v>
      </c>
      <c r="H18" s="8">
        <v>13657662</v>
      </c>
      <c r="I18" s="8">
        <v>8398275</v>
      </c>
      <c r="J18" s="8">
        <v>5274782</v>
      </c>
      <c r="K18" s="8">
        <v>298214</v>
      </c>
      <c r="L18" s="8">
        <v>85030</v>
      </c>
      <c r="M18" s="8">
        <v>368035</v>
      </c>
      <c r="N18" s="8">
        <f>SUM(B18:M18)</f>
        <v>74971465</v>
      </c>
    </row>
    <row r="19" spans="1:14" ht="12.75">
      <c r="A19" s="4" t="s">
        <v>17</v>
      </c>
      <c r="B19" s="8">
        <v>2634658</v>
      </c>
      <c r="C19" s="8">
        <v>797700</v>
      </c>
      <c r="D19" s="8">
        <v>398429</v>
      </c>
      <c r="E19" s="8">
        <v>1418311</v>
      </c>
      <c r="F19" s="8">
        <v>2917709</v>
      </c>
      <c r="G19" s="8">
        <v>4249630</v>
      </c>
      <c r="H19" s="8">
        <v>5521568</v>
      </c>
      <c r="I19" s="8">
        <v>1747677</v>
      </c>
      <c r="J19" s="8">
        <v>1749363</v>
      </c>
      <c r="K19" s="8">
        <v>2556716</v>
      </c>
      <c r="L19" s="8">
        <v>1843326</v>
      </c>
      <c r="M19" s="8">
        <v>4076929</v>
      </c>
      <c r="N19" s="8">
        <f>SUM(B19:M19)</f>
        <v>29912016</v>
      </c>
    </row>
    <row r="20" spans="1:14" ht="12.75">
      <c r="A20" s="4" t="s">
        <v>18</v>
      </c>
      <c r="B20" s="8"/>
      <c r="C20" s="8"/>
      <c r="D20" s="8">
        <v>275722</v>
      </c>
      <c r="E20" s="8">
        <v>234311</v>
      </c>
      <c r="F20" s="8"/>
      <c r="G20" s="8"/>
      <c r="H20" s="8"/>
      <c r="I20" s="8"/>
      <c r="J20" s="8"/>
      <c r="K20" s="8"/>
      <c r="L20" s="8"/>
      <c r="M20" s="8"/>
      <c r="N20" s="8">
        <f>SUM(B20:M20)</f>
        <v>510033</v>
      </c>
    </row>
    <row r="21" spans="1:14" ht="12.75">
      <c r="A21" s="4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" t="s">
        <v>20</v>
      </c>
      <c r="B22" s="10">
        <f aca="true" t="shared" si="2" ref="B22:M22">SUM(B16:B21)</f>
        <v>5689674</v>
      </c>
      <c r="C22" s="10">
        <f t="shared" si="2"/>
        <v>3816586</v>
      </c>
      <c r="D22" s="10">
        <f t="shared" si="2"/>
        <v>5837031</v>
      </c>
      <c r="E22" s="10">
        <f t="shared" si="2"/>
        <v>8147910</v>
      </c>
      <c r="F22" s="10">
        <f t="shared" si="2"/>
        <v>15970505</v>
      </c>
      <c r="G22" s="10">
        <f t="shared" si="2"/>
        <v>20483617</v>
      </c>
      <c r="H22" s="10">
        <f t="shared" si="2"/>
        <v>19226031</v>
      </c>
      <c r="I22" s="10">
        <f t="shared" si="2"/>
        <v>10145952</v>
      </c>
      <c r="J22" s="10">
        <f t="shared" si="2"/>
        <v>7053276</v>
      </c>
      <c r="K22" s="10">
        <f t="shared" si="2"/>
        <v>2854930</v>
      </c>
      <c r="L22" s="10">
        <f t="shared" si="2"/>
        <v>2016894</v>
      </c>
      <c r="M22" s="10">
        <f t="shared" si="2"/>
        <v>4444964</v>
      </c>
      <c r="N22" s="10">
        <f>SUM(B22:M22)</f>
        <v>105687370</v>
      </c>
    </row>
    <row r="23" ht="12.75">
      <c r="A23" s="5" t="s">
        <v>24</v>
      </c>
    </row>
    <row r="25" ht="12.75">
      <c r="A25" t="s">
        <v>53</v>
      </c>
    </row>
    <row r="26" ht="12.75">
      <c r="A26" t="s">
        <v>32</v>
      </c>
    </row>
    <row r="27" spans="1:14" ht="12.75">
      <c r="A27" s="1" t="s">
        <v>21</v>
      </c>
      <c r="B27" s="2" t="s">
        <v>0</v>
      </c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2" t="s">
        <v>8</v>
      </c>
      <c r="K27" s="2" t="s">
        <v>28</v>
      </c>
      <c r="L27" s="2" t="s">
        <v>29</v>
      </c>
      <c r="M27" s="2" t="s">
        <v>30</v>
      </c>
      <c r="N27" s="6" t="s">
        <v>25</v>
      </c>
    </row>
    <row r="28" spans="1:14" ht="12.75">
      <c r="A28" s="4" t="s">
        <v>11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4" t="s">
        <v>9</v>
      </c>
      <c r="B29" s="15">
        <f aca="true" t="shared" si="3" ref="B29:N34">B17/B5</f>
        <v>2455</v>
      </c>
      <c r="C29" s="15">
        <f t="shared" si="3"/>
        <v>1423.090909090909</v>
      </c>
      <c r="D29" s="15">
        <f t="shared" si="3"/>
        <v>2329.8636363636365</v>
      </c>
      <c r="E29" s="15"/>
      <c r="F29" s="15">
        <f t="shared" si="3"/>
        <v>1373.8823529411766</v>
      </c>
      <c r="G29" s="15">
        <f t="shared" si="3"/>
        <v>1275</v>
      </c>
      <c r="H29" s="15">
        <f t="shared" si="3"/>
        <v>1800.0384615384614</v>
      </c>
      <c r="I29" s="15"/>
      <c r="J29" s="15">
        <f t="shared" si="3"/>
        <v>1387.1904761904761</v>
      </c>
      <c r="K29" s="15"/>
      <c r="L29" s="15">
        <f t="shared" si="3"/>
        <v>1639.5925925925926</v>
      </c>
      <c r="M29" s="15"/>
      <c r="N29" s="15">
        <f t="shared" si="3"/>
        <v>1698.5895953757226</v>
      </c>
    </row>
    <row r="30" spans="1:14" ht="12.75">
      <c r="A30" s="4" t="s">
        <v>14</v>
      </c>
      <c r="B30" s="15">
        <f t="shared" si="3"/>
        <v>1606.0190476190476</v>
      </c>
      <c r="C30" s="15">
        <f t="shared" si="3"/>
        <v>1580.7291005291006</v>
      </c>
      <c r="D30" s="15">
        <f t="shared" si="3"/>
        <v>1621.707804568528</v>
      </c>
      <c r="E30" s="15">
        <f t="shared" si="3"/>
        <v>1703.0120608285265</v>
      </c>
      <c r="F30" s="15">
        <f t="shared" si="3"/>
        <v>1728.271654065526</v>
      </c>
      <c r="G30" s="15">
        <f t="shared" si="3"/>
        <v>1824.8439397346526</v>
      </c>
      <c r="H30" s="15">
        <f t="shared" si="3"/>
        <v>1953.8858369098712</v>
      </c>
      <c r="I30" s="15">
        <f t="shared" si="3"/>
        <v>1938.6599722991689</v>
      </c>
      <c r="J30" s="15">
        <f t="shared" si="3"/>
        <v>1955.7960697070819</v>
      </c>
      <c r="K30" s="15">
        <f t="shared" si="3"/>
        <v>2001.4362416107383</v>
      </c>
      <c r="L30" s="15">
        <f t="shared" si="3"/>
        <v>1700.6</v>
      </c>
      <c r="M30" s="15">
        <f t="shared" si="3"/>
        <v>1840.175</v>
      </c>
      <c r="N30" s="15">
        <f t="shared" si="3"/>
        <v>1802.3286535086665</v>
      </c>
    </row>
    <row r="31" spans="1:14" ht="12.75">
      <c r="A31" s="4" t="s">
        <v>17</v>
      </c>
      <c r="B31" s="15">
        <f t="shared" si="3"/>
        <v>1755.2684876748833</v>
      </c>
      <c r="C31" s="15">
        <f t="shared" si="3"/>
        <v>1658.4199584199584</v>
      </c>
      <c r="D31" s="15">
        <f t="shared" si="3"/>
        <v>1732.3</v>
      </c>
      <c r="E31" s="15">
        <f t="shared" si="3"/>
        <v>1748.8421701602958</v>
      </c>
      <c r="F31" s="15">
        <f t="shared" si="3"/>
        <v>1906.9993464052288</v>
      </c>
      <c r="G31" s="15">
        <f t="shared" si="3"/>
        <v>1993.2598499061914</v>
      </c>
      <c r="H31" s="15">
        <f t="shared" si="3"/>
        <v>2040.490761271249</v>
      </c>
      <c r="I31" s="15">
        <f t="shared" si="3"/>
        <v>2018.1027713625865</v>
      </c>
      <c r="J31" s="15">
        <f t="shared" si="3"/>
        <v>2050.8358733880423</v>
      </c>
      <c r="K31" s="15">
        <f t="shared" si="3"/>
        <v>2125.2834580216127</v>
      </c>
      <c r="L31" s="15">
        <f t="shared" si="3"/>
        <v>1877.1140529531567</v>
      </c>
      <c r="M31" s="15">
        <f t="shared" si="3"/>
        <v>2013.2982716049382</v>
      </c>
      <c r="N31" s="15">
        <f t="shared" si="3"/>
        <v>1952.481462140992</v>
      </c>
    </row>
    <row r="32" spans="1:14" ht="12.75">
      <c r="A32" s="4" t="s">
        <v>18</v>
      </c>
      <c r="B32" s="15"/>
      <c r="C32" s="15"/>
      <c r="D32" s="15">
        <f t="shared" si="3"/>
        <v>2120.9384615384615</v>
      </c>
      <c r="E32" s="15">
        <f t="shared" si="3"/>
        <v>2252.9903846153848</v>
      </c>
      <c r="F32" s="15"/>
      <c r="G32" s="15"/>
      <c r="H32" s="15"/>
      <c r="I32" s="15"/>
      <c r="J32" s="15"/>
      <c r="K32" s="15"/>
      <c r="L32" s="15"/>
      <c r="M32" s="15"/>
      <c r="N32" s="15">
        <f t="shared" si="3"/>
        <v>2179.628205128205</v>
      </c>
    </row>
    <row r="33" spans="1:14" ht="12.75">
      <c r="A33" s="4" t="s">
        <v>19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 t="s">
        <v>20</v>
      </c>
      <c r="B34" s="17">
        <f t="shared" si="3"/>
        <v>1673.9258605472198</v>
      </c>
      <c r="C34" s="17">
        <f t="shared" si="3"/>
        <v>1594.8959465106561</v>
      </c>
      <c r="D34" s="17">
        <f t="shared" si="3"/>
        <v>1651.6782682512733</v>
      </c>
      <c r="E34" s="17">
        <f t="shared" si="3"/>
        <v>1722.9668005920914</v>
      </c>
      <c r="F34" s="17">
        <f t="shared" si="3"/>
        <v>1757.7047105436936</v>
      </c>
      <c r="G34" s="17">
        <f t="shared" si="3"/>
        <v>1857.2506120228488</v>
      </c>
      <c r="H34" s="17">
        <f t="shared" si="3"/>
        <v>1977.5798189672907</v>
      </c>
      <c r="I34" s="17">
        <f t="shared" si="3"/>
        <v>1951.8953443632165</v>
      </c>
      <c r="J34" s="17">
        <f t="shared" si="3"/>
        <v>1975.154298515822</v>
      </c>
      <c r="K34" s="17">
        <f t="shared" si="3"/>
        <v>2111.6346153846152</v>
      </c>
      <c r="L34" s="17">
        <f t="shared" si="3"/>
        <v>1857.1767955801106</v>
      </c>
      <c r="M34" s="17">
        <f t="shared" si="3"/>
        <v>1997.7366292134832</v>
      </c>
      <c r="N34" s="17">
        <f t="shared" si="3"/>
        <v>1843.6844951503733</v>
      </c>
    </row>
    <row r="35" ht="12.75">
      <c r="A35" s="5" t="s">
        <v>24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Jairala</dc:creator>
  <cp:keywords/>
  <dc:description/>
  <cp:lastModifiedBy>Pablo Garcia</cp:lastModifiedBy>
  <cp:lastPrinted>2006-04-24T16:13:42Z</cp:lastPrinted>
  <dcterms:created xsi:type="dcterms:W3CDTF">2005-11-03T13:51:59Z</dcterms:created>
  <dcterms:modified xsi:type="dcterms:W3CDTF">2006-04-27T17:33:31Z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2035164014</vt:i4>
  </property>
  <property fmtid="{D5CDD505-2E9C-101B-9397-08002B2CF9AE}" pid="3" name="_EmailSubject">
    <vt:lpwstr>actualización info estadística</vt:lpwstr>
  </property>
  <property fmtid="{D5CDD505-2E9C-101B-9397-08002B2CF9AE}" pid="4" name="_AuthorEmail">
    <vt:lpwstr>m.jairala@ipcva.com.ar</vt:lpwstr>
  </property>
  <property fmtid="{D5CDD505-2E9C-101B-9397-08002B2CF9AE}" pid="5" name="_AuthorEmailDisplayName">
    <vt:lpwstr>Miguel Jairala</vt:lpwstr>
  </property>
  <property fmtid="{D5CDD505-2E9C-101B-9397-08002B2CF9AE}" pid="6" name="_PreviousAdHocReviewCycleID">
    <vt:i4>-1143279706</vt:i4>
  </property>
  <property fmtid="{D5CDD505-2E9C-101B-9397-08002B2CF9AE}" pid="7" name="_ReviewingToolsShownOnce">
    <vt:lpwstr/>
  </property>
</Properties>
</file>